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60" windowHeight="6030" tabRatio="832" activeTab="1"/>
  </bookViews>
  <sheets>
    <sheet name="mySheet1" sheetId="1" r:id="rId1"/>
    <sheet name="tk_takeoff" sheetId="2" r:id="rId2"/>
    <sheet name="tk_Phase_1" sheetId="3" r:id="rId3"/>
    <sheet name="tk_Phase_2" sheetId="4" r:id="rId4"/>
    <sheet name="tk_Phase_3" sheetId="5" r:id="rId5"/>
    <sheet name="tk_CCO_1" sheetId="6" r:id="rId6"/>
    <sheet name="tk_Original" sheetId="7" r:id="rId7"/>
    <sheet name="tk_Materials" sheetId="8" r:id="rId8"/>
    <sheet name="tk_Labor" sheetId="9" r:id="rId9"/>
    <sheet name="tk_Budget" sheetId="10" r:id="rId10"/>
    <sheet name="tk_BudgetSUM" sheetId="11" r:id="rId11"/>
    <sheet name="tk_Products" sheetId="12" r:id="rId12"/>
    <sheet name="tk_Recap" sheetId="13" r:id="rId13"/>
    <sheet name="tk_RangeNames" sheetId="14" r:id="rId14"/>
  </sheets>
  <definedNames>
    <definedName name="Bid_Date">'tk_RangeNames'!$B$44</definedName>
    <definedName name="Budget_FeeMU">'tk_Budget'!$B$6</definedName>
    <definedName name="Budget_LaborMU">'tk_Budget'!$B$4</definedName>
    <definedName name="Budget_LaborMU2">'tk_Budget'!$B$5</definedName>
    <definedName name="Budget_MaterialMU">'tk_Budget'!$B$2</definedName>
    <definedName name="Budget_MaterialMU2">'tk_Budget'!$B$3</definedName>
    <definedName name="Budget_SubContractsMU">'tk_Budget'!$B$7</definedName>
    <definedName name="Budget_Tax1Rate">'tk_Budget'!$B$8</definedName>
    <definedName name="Budget_TaxRateBO">'tk_Budget'!$C$7</definedName>
    <definedName name="Budget_TaxRateLabor">'tk_Budget'!$C$4</definedName>
    <definedName name="Budget_TaxRateLabor2">'tk_Budget'!$C$5</definedName>
    <definedName name="Budget_TaxRateMaterial">'tk_Budget'!$C$2</definedName>
    <definedName name="Budget_TaxRateMaterial2">'tk_Budget'!$C$3</definedName>
    <definedName name="Budget_TaxRateProfit">'tk_Budget'!$C$6</definedName>
    <definedName name="BudgetSUM_FeeMU">'tk_BudgetSUM'!$B$6</definedName>
    <definedName name="BudgetSUM_LaborMU">'tk_BudgetSUM'!$B$4</definedName>
    <definedName name="BudgetSUM_LaborMU2">'tk_BudgetSUM'!$B$5</definedName>
    <definedName name="BudgetSUM_MaterialMU">'tk_BudgetSUM'!$B$2</definedName>
    <definedName name="BudgetSUM_MaterialMU2">'tk_BudgetSUM'!$B$3</definedName>
    <definedName name="BudgetSUM_SubContractsMU">'tk_BudgetSUM'!$B$7</definedName>
    <definedName name="BudgetSUM_Tax1Rate">'tk_BudgetSUM'!$B$8</definedName>
    <definedName name="BudgetSUM_TaxRateBO">'tk_BudgetSUM'!$C$7</definedName>
    <definedName name="BudgetSUM_TaxRateLabor">'tk_BudgetSUM'!$C$4</definedName>
    <definedName name="BudgetSUM_TaxRateLabor2">'tk_BudgetSUM'!$C$5</definedName>
    <definedName name="BudgetSUM_TaxRateMaterial">'tk_BudgetSUM'!$C$2</definedName>
    <definedName name="BudgetSUM_TaxRateMaterial2">'tk_BudgetSUM'!$C$3</definedName>
    <definedName name="BudgetSUM_TaxRateProfit">'tk_BudgetSUM'!$C$6</definedName>
    <definedName name="Contact1">'tk_RangeNames'!$B$36</definedName>
    <definedName name="Contact2">'tk_RangeNames'!$B$37</definedName>
    <definedName name="Contact3">'tk_RangeNames'!$B$38</definedName>
    <definedName name="Contact4">'tk_RangeNames'!$B$39</definedName>
    <definedName name="FilteredPortion">'tk_RangeNames'!$B$33</definedName>
    <definedName name="Lab_FeeMU">'tk_Labor'!$B$6</definedName>
    <definedName name="Lab_LaborMU">'tk_Labor'!$B$4</definedName>
    <definedName name="Lab_LaborMU2">'tk_Labor'!$B$5</definedName>
    <definedName name="Lab_MaterialMU">'tk_Labor'!$B$2</definedName>
    <definedName name="Lab_MaterialMU2">'tk_Labor'!$B$3</definedName>
    <definedName name="Lab_Mfg_Manufacturing_Cabinet_fab_Cost">'tk_Labor'!$F$21</definedName>
    <definedName name="Lab_Mfg_Manufacturing_Cabinet_fab_Qty">'tk_Labor'!$C$21</definedName>
    <definedName name="Lab_Mfg_Manufacturing_Cabinet_fab_Total">'tk_Labor'!$I$21</definedName>
    <definedName name="Lab_Mfg_Manufacturing_Counter_fab_Cost">'tk_Labor'!$F$27</definedName>
    <definedName name="Lab_Mfg_Manufacturing_Counter_fab_Qty">'tk_Labor'!$C$27</definedName>
    <definedName name="Lab_Mfg_Manufacturing_Counter_fab_Total">'tk_Labor'!$I$27</definedName>
    <definedName name="Lab_Mfg_Manufacturing_Millwork_fab_Cost">'tk_Labor'!$F$32</definedName>
    <definedName name="Lab_Mfg_Manufacturing_Millwork_fab_Qty">'tk_Labor'!$C$32</definedName>
    <definedName name="Lab_Mfg_Manufacturing_Millwork_fab_Total">'tk_Labor'!$I$32</definedName>
    <definedName name="Lab_Mfg_Manufacturing_MiscellaneousCost">'tk_Labor'!$F$35</definedName>
    <definedName name="Lab_Mfg_Manufacturing_MiscellaneousQty">'tk_Labor'!$C$35</definedName>
    <definedName name="Lab_Mfg_Manufacturing_MiscellaneousTotal">'tk_Labor'!$I$35</definedName>
    <definedName name="Lab_Mfg_ManufacturingCost">'tk_Labor'!$F$36</definedName>
    <definedName name="Lab_Mfg_ManufacturingMU">'tk_Labor'!$A$11</definedName>
    <definedName name="Lab_Mfg_ManufacturingQty">'tk_Labor'!$C$36</definedName>
    <definedName name="Lab_Mfg_ManufacturingTotal">'tk_Labor'!$I$36</definedName>
    <definedName name="Lab_Site_Site_CabinetCost">'tk_Labor'!$F$44</definedName>
    <definedName name="Lab_Site_Site_CabinetQty">'tk_Labor'!$C$44</definedName>
    <definedName name="Lab_Site_Site_CabinetTotal">'tk_Labor'!$I$44</definedName>
    <definedName name="Lab_Site_Site_CounterCost">'tk_Labor'!$F$48</definedName>
    <definedName name="Lab_Site_Site_CounterQty">'tk_Labor'!$C$48</definedName>
    <definedName name="Lab_Site_Site_CounterTotal">'tk_Labor'!$I$48</definedName>
    <definedName name="Lab_Site_Site_CustomCost">'tk_Labor'!$F$51</definedName>
    <definedName name="Lab_Site_Site_CustomQty">'tk_Labor'!$C$51</definedName>
    <definedName name="Lab_Site_Site_CustomTotal">'tk_Labor'!$I$51</definedName>
    <definedName name="Lab_Site_Site_Finish_CarpentryCost">'tk_Labor'!$F$54</definedName>
    <definedName name="Lab_Site_Site_Finish_CarpentryQty">'tk_Labor'!$C$54</definedName>
    <definedName name="Lab_Site_Site_Finish_CarpentryTotal">'tk_Labor'!$I$54</definedName>
    <definedName name="Lab_Site_SiteCost">'tk_Labor'!$F$55</definedName>
    <definedName name="Lab_Site_SiteMU">'tk_Labor'!$A$39</definedName>
    <definedName name="Lab_Site_SiteQty">'tk_Labor'!$C$55</definedName>
    <definedName name="Lab_Site_SiteTotal">'tk_Labor'!$I$55</definedName>
    <definedName name="Lab_SubContractsMU">'tk_Labor'!$B$7</definedName>
    <definedName name="Lab_Tax1Rate">'tk_Labor'!$B$8</definedName>
    <definedName name="Lab_TaxRateBO">'tk_Labor'!$C$7</definedName>
    <definedName name="Lab_TaxRateLabor">'tk_Labor'!$C$4</definedName>
    <definedName name="Lab_TaxRateLabor2">'tk_Labor'!$C$5</definedName>
    <definedName name="Lab_TaxRateMaterial">'tk_Labor'!$C$2</definedName>
    <definedName name="Lab_TaxRateMaterial2">'tk_Labor'!$C$3</definedName>
    <definedName name="Lab_TaxRateProfit">'tk_Labor'!$C$6</definedName>
    <definedName name="Label_Contact1">'tk_RangeNames'!$B$40</definedName>
    <definedName name="Label_Contact2">'tk_RangeNames'!$B$41</definedName>
    <definedName name="Label_Contact3">'tk_RangeNames'!$B$42</definedName>
    <definedName name="Label_Contact4">'tk_RangeNames'!$B$43</definedName>
    <definedName name="Label_Fee">'tk_RangeNames'!$B$35</definedName>
    <definedName name="Label_LaborCost1">'tk_RangeNames'!$A$13</definedName>
    <definedName name="Label_LaborCost2">'tk_RangeNames'!$A$14</definedName>
    <definedName name="Label_Markup">'tk_RangeNames'!$B$34</definedName>
    <definedName name="Label_MaterialCost1">'tk_RangeNames'!$A$11</definedName>
    <definedName name="Label_MaterialCost2">'tk_RangeNames'!$A$12</definedName>
    <definedName name="LABOR1Cost">'tk_Recap'!$F$31</definedName>
    <definedName name="LABOR1Fee">'tk_Recap'!$H$31</definedName>
    <definedName name="LABOR1MU">'tk_Recap'!$G$31</definedName>
    <definedName name="LABOR1Qty">'tk_Recap'!$C$31</definedName>
    <definedName name="LABOR1Total">'tk_Recap'!$I$31</definedName>
    <definedName name="LABOR2Cost">'tk_Recap'!$F$45</definedName>
    <definedName name="LABOR2Fee">'tk_Recap'!$H$45</definedName>
    <definedName name="LABOR2MU">'tk_Recap'!$G$45</definedName>
    <definedName name="LABOR2Qty">'tk_Recap'!$C$45</definedName>
    <definedName name="LABOR2Total">'tk_Recap'!$I$45</definedName>
    <definedName name="Mat_Buyout_Buyout_FurnitureCost">'tk_Materials'!$F$103</definedName>
    <definedName name="Mat_Buyout_Buyout_FurnitureQty">'tk_Materials'!$C$103</definedName>
    <definedName name="Mat_Buyout_Buyout_FurnitureTotal">'tk_Materials'!$I$103</definedName>
    <definedName name="Mat_Buyout_BuyoutCost">'tk_Materials'!$F$104</definedName>
    <definedName name="Mat_Buyout_BuyoutMU">'tk_Materials'!$A$99</definedName>
    <definedName name="Mat_Buyout_BuyoutTotal">'tk_Materials'!$I$104</definedName>
    <definedName name="Mat_Buyout_BuyoutWeight">'tk_Materials'!$J$104</definedName>
    <definedName name="Mat_FeeMU">'tk_Materials'!$B$6</definedName>
    <definedName name="Mat_LaborMU">'tk_Materials'!$B$4</definedName>
    <definedName name="Mat_LaborMU2">'tk_Materials'!$B$5</definedName>
    <definedName name="Mat_MaterialMU">'tk_Materials'!$B$2</definedName>
    <definedName name="Mat_MaterialMU2">'tk_Materials'!$B$3</definedName>
    <definedName name="Mat_Mfg_Edging_PVCCost">'tk_Materials'!$F$19</definedName>
    <definedName name="Mat_Mfg_Edging_PVCQty">'tk_Materials'!$C$19</definedName>
    <definedName name="Mat_Mfg_Edging_PVCTotal">'tk_Materials'!$I$19</definedName>
    <definedName name="Mat_Mfg_Edging_WoodCost">'tk_Materials'!$F$22</definedName>
    <definedName name="Mat_Mfg_Edging_WoodQty">'tk_Materials'!$C$22</definedName>
    <definedName name="Mat_Mfg_Edging_WoodTotal">'tk_Materials'!$I$22</definedName>
    <definedName name="Mat_Mfg_EdgingCost">'tk_Materials'!$F$23</definedName>
    <definedName name="Mat_Mfg_EdgingMU">'tk_Materials'!$A$11</definedName>
    <definedName name="Mat_Mfg_EdgingTotal">'tk_Materials'!$I$23</definedName>
    <definedName name="Mat_Mfg_EdgingWeight">'tk_Materials'!$J$23</definedName>
    <definedName name="Mat_Mfg_Hardware_FastenersCost">'tk_Materials'!$F$30</definedName>
    <definedName name="Mat_Mfg_Hardware_FastenersQty">'tk_Materials'!$C$30</definedName>
    <definedName name="Mat_Mfg_Hardware_FastenersTotal">'tk_Materials'!$I$30</definedName>
    <definedName name="Mat_Mfg_Hardware_HingesCost">'tk_Materials'!$F$34</definedName>
    <definedName name="Mat_Mfg_Hardware_HingesQty">'tk_Materials'!$C$34</definedName>
    <definedName name="Mat_Mfg_Hardware_HingesTotal">'tk_Materials'!$I$34</definedName>
    <definedName name="Mat_Mfg_Hardware_LocksCost">'tk_Materials'!$F$37</definedName>
    <definedName name="Mat_Mfg_Hardware_LocksQty">'tk_Materials'!$C$37</definedName>
    <definedName name="Mat_Mfg_Hardware_LocksTotal">'tk_Materials'!$I$37</definedName>
    <definedName name="Mat_Mfg_Hardware_MiscellaneousCost">'tk_Materials'!$F$40</definedName>
    <definedName name="Mat_Mfg_Hardware_MiscellaneousQty">'tk_Materials'!$C$40</definedName>
    <definedName name="Mat_Mfg_Hardware_MiscellaneousTotal">'tk_Materials'!$I$40</definedName>
    <definedName name="Mat_Mfg_Hardware_PullsCost">'tk_Materials'!$F$43</definedName>
    <definedName name="Mat_Mfg_Hardware_PullsQty">'tk_Materials'!$C$43</definedName>
    <definedName name="Mat_Mfg_Hardware_PullsTotal">'tk_Materials'!$I$43</definedName>
    <definedName name="Mat_Mfg_Hardware_Shelf_FittingsCost">'tk_Materials'!$F$46</definedName>
    <definedName name="Mat_Mfg_Hardware_Shelf_FittingsQty">'tk_Materials'!$C$46</definedName>
    <definedName name="Mat_Mfg_Hardware_Shelf_FittingsTotal">'tk_Materials'!$I$46</definedName>
    <definedName name="Mat_Mfg_Hardware_SlidesCost">'tk_Materials'!$F$50</definedName>
    <definedName name="Mat_Mfg_Hardware_SlidesQty">'tk_Materials'!$C$50</definedName>
    <definedName name="Mat_Mfg_Hardware_SlidesTotal">'tk_Materials'!$I$50</definedName>
    <definedName name="Mat_Mfg_HardwareCost">'tk_Materials'!$F$51</definedName>
    <definedName name="Mat_Mfg_HardwareMU">'tk_Materials'!$A$26</definedName>
    <definedName name="Mat_Mfg_HardwareTotal">'tk_Materials'!$I$51</definedName>
    <definedName name="Mat_Mfg_HardwareWeight">'tk_Materials'!$J$51</definedName>
    <definedName name="Mat_Mfg_Lumber_JambCost">'tk_Materials'!$F$58</definedName>
    <definedName name="Mat_Mfg_Lumber_JambQty">'tk_Materials'!$C$58</definedName>
    <definedName name="Mat_Mfg_Lumber_JambTotal">'tk_Materials'!$I$58</definedName>
    <definedName name="Mat_Mfg_LumberCost">'tk_Materials'!$F$59</definedName>
    <definedName name="Mat_Mfg_LumberMU">'tk_Materials'!$A$54</definedName>
    <definedName name="Mat_Mfg_LumberTotal">'tk_Materials'!$I$59</definedName>
    <definedName name="Mat_Mfg_LumberWeight">'tk_Materials'!$J$59</definedName>
    <definedName name="Mat_Mfg_Mouldings_CasingsCost">'tk_Materials'!$F$66</definedName>
    <definedName name="Mat_Mfg_Mouldings_CasingsQty">'tk_Materials'!$C$66</definedName>
    <definedName name="Mat_Mfg_Mouldings_CasingsTotal">'tk_Materials'!$I$66</definedName>
    <definedName name="Mat_Mfg_Mouldings_CrownCost">'tk_Materials'!$F$69</definedName>
    <definedName name="Mat_Mfg_Mouldings_CrownQty">'tk_Materials'!$C$69</definedName>
    <definedName name="Mat_Mfg_Mouldings_CrownTotal">'tk_Materials'!$I$69</definedName>
    <definedName name="Mat_Mfg_MouldingsCost">'tk_Materials'!$F$70</definedName>
    <definedName name="Mat_Mfg_MouldingsMU">'tk_Materials'!$A$62</definedName>
    <definedName name="Mat_Mfg_MouldingsTotal">'tk_Materials'!$I$70</definedName>
    <definedName name="Mat_Mfg_MouldingsWeight">'tk_Materials'!$J$70</definedName>
    <definedName name="Mat_Mfg_Sheet_Goods_LayupCost">'tk_Materials'!$F$77</definedName>
    <definedName name="Mat_Mfg_Sheet_Goods_LayupQty">'tk_Materials'!$C$77</definedName>
    <definedName name="Mat_Mfg_Sheet_Goods_LayupTotal">'tk_Materials'!$I$77</definedName>
    <definedName name="Mat_Mfg_Sheet_Goods_MelamineCost">'tk_Materials'!$F$83</definedName>
    <definedName name="Mat_Mfg_Sheet_Goods_MelamineQty">'tk_Materials'!$C$83</definedName>
    <definedName name="Mat_Mfg_Sheet_Goods_MelamineTotal">'tk_Materials'!$I$83</definedName>
    <definedName name="Mat_Mfg_Sheet_Goods_Plastic_LaminateCost">'tk_Materials'!$F$88</definedName>
    <definedName name="Mat_Mfg_Sheet_Goods_Plastic_LaminateQty">'tk_Materials'!$C$88</definedName>
    <definedName name="Mat_Mfg_Sheet_Goods_Plastic_LaminateTotal">'tk_Materials'!$I$88</definedName>
    <definedName name="Mat_Mfg_Sheet_Goods_PlywoodCost">'tk_Materials'!$F$95</definedName>
    <definedName name="Mat_Mfg_Sheet_Goods_PlywoodQty">'tk_Materials'!$C$95</definedName>
    <definedName name="Mat_Mfg_Sheet_Goods_PlywoodTotal">'tk_Materials'!$I$95</definedName>
    <definedName name="Mat_Mfg_Sheet_GoodsCost">'tk_Materials'!$F$96</definedName>
    <definedName name="Mat_Mfg_Sheet_GoodsMU">'tk_Materials'!$A$73</definedName>
    <definedName name="Mat_Mfg_Sheet_GoodsTotal">'tk_Materials'!$I$96</definedName>
    <definedName name="Mat_Mfg_Sheet_GoodsWeight">'tk_Materials'!$J$96</definedName>
    <definedName name="Mat_SubContractsMU">'tk_Materials'!$B$7</definedName>
    <definedName name="Mat_Tax1Rate">'tk_Materials'!$B$8</definedName>
    <definedName name="Mat_TaxRateBO">'tk_Materials'!$C$7</definedName>
    <definedName name="Mat_TaxRateLabor">'tk_Materials'!$C$4</definedName>
    <definedName name="Mat_TaxRateLabor2">'tk_Materials'!$C$5</definedName>
    <definedName name="Mat_TaxRateMaterial">'tk_Materials'!$C$2</definedName>
    <definedName name="Mat_TaxRateMaterial2">'tk_Materials'!$C$3</definedName>
    <definedName name="Mat_TaxRateProfit">'tk_Materials'!$C$6</definedName>
    <definedName name="MATERIAL1Cost">'tk_Recap'!$F$97</definedName>
    <definedName name="MATERIAL1Fee">'tk_Recap'!$H$97</definedName>
    <definedName name="MATERIAL1MU">'tk_Recap'!$G$97</definedName>
    <definedName name="MATERIAL1Qty">'tk_Recap'!$C$97</definedName>
    <definedName name="MATERIAL1Total">'tk_Recap'!$I$97</definedName>
    <definedName name="MATERIAL2Cost">'tk_Recap'!$F$103</definedName>
    <definedName name="MATERIAL2Fee">'tk_Recap'!$H$103</definedName>
    <definedName name="MATERIAL2MU">'tk_Recap'!$G$103</definedName>
    <definedName name="MATERIAL2Qty">'tk_Recap'!$C$103</definedName>
    <definedName name="MATERIAL2Total">'tk_Recap'!$I$103</definedName>
    <definedName name="PH_Phase_1_FeeMU">'tk_Phase_1'!$B$6</definedName>
    <definedName name="PH_Phase_1_LabCost">'tk_RangeNames'!$B$51</definedName>
    <definedName name="PH_Phase_1_LabCost2">'tk_RangeNames'!$B$52</definedName>
    <definedName name="PH_Phase_1_LaborMU">'tk_Phase_1'!$B$4</definedName>
    <definedName name="PH_Phase_1_LaborMU2">'tk_Phase_1'!$B$5</definedName>
    <definedName name="PH_Phase_1_LabQty">'tk_RangeNames'!$B$53</definedName>
    <definedName name="PH_Phase_1_LabQty2">'tk_RangeNames'!$B$54</definedName>
    <definedName name="PH_Phase_1_MatCost">'tk_RangeNames'!$B$49</definedName>
    <definedName name="PH_Phase_1_MatCost2">'tk_RangeNames'!$B$50</definedName>
    <definedName name="PH_Phase_1_MaterialMU">'tk_Phase_1'!$B$2</definedName>
    <definedName name="PH_Phase_1_MaterialMU2">'tk_Phase_1'!$B$3</definedName>
    <definedName name="PH_Phase_1_SubContract">'tk_RangeNames'!$B$55</definedName>
    <definedName name="PH_Phase_1_SubContractsMU">'tk_Phase_1'!$B$7</definedName>
    <definedName name="PH_Phase_1_Tax1Rate">'tk_Phase_1'!$B$8</definedName>
    <definedName name="PH_Phase_1_TaxRateBO">'tk_Phase_1'!$C$7</definedName>
    <definedName name="PH_Phase_1_TaxRateLabor">'tk_Phase_1'!$C$4</definedName>
    <definedName name="PH_Phase_1_TaxRateLabor2">'tk_Phase_1'!$C$5</definedName>
    <definedName name="PH_Phase_1_TaxRateMaterial">'tk_Phase_1'!$C$2</definedName>
    <definedName name="PH_Phase_1_TaxRateMaterial2">'tk_Phase_1'!$C$3</definedName>
    <definedName name="PH_Phase_1_TaxRateProfit">'tk_Phase_1'!$C$6</definedName>
    <definedName name="PH_Phase_2_FeeMU">'tk_Phase_2'!$B$6</definedName>
    <definedName name="PH_Phase_2_LabCost">'tk_RangeNames'!$B$59</definedName>
    <definedName name="PH_Phase_2_LabCost2">'tk_RangeNames'!$B$60</definedName>
    <definedName name="PH_Phase_2_LaborMU">'tk_Phase_2'!$B$4</definedName>
    <definedName name="PH_Phase_2_LaborMU2">'tk_Phase_2'!$B$5</definedName>
    <definedName name="PH_Phase_2_LabQty">'tk_RangeNames'!$B$61</definedName>
    <definedName name="PH_Phase_2_LabQty2">'tk_RangeNames'!$B$62</definedName>
    <definedName name="PH_Phase_2_MatCost">'tk_RangeNames'!$B$57</definedName>
    <definedName name="PH_Phase_2_MatCost2">'tk_RangeNames'!$B$58</definedName>
    <definedName name="PH_Phase_2_MaterialMU">'tk_Phase_2'!$B$2</definedName>
    <definedName name="PH_Phase_2_MaterialMU2">'tk_Phase_2'!$B$3</definedName>
    <definedName name="PH_Phase_2_SubContract">'tk_RangeNames'!$B$63</definedName>
    <definedName name="PH_Phase_2_SubContractsMU">'tk_Phase_2'!$B$7</definedName>
    <definedName name="PH_Phase_2_Tax1Rate">'tk_Phase_2'!$B$8</definedName>
    <definedName name="PH_Phase_2_TaxRateBO">'tk_Phase_2'!$C$7</definedName>
    <definedName name="PH_Phase_2_TaxRateLabor">'tk_Phase_2'!$C$4</definedName>
    <definedName name="PH_Phase_2_TaxRateLabor2">'tk_Phase_2'!$C$5</definedName>
    <definedName name="PH_Phase_2_TaxRateMaterial">'tk_Phase_2'!$C$2</definedName>
    <definedName name="PH_Phase_2_TaxRateMaterial2">'tk_Phase_2'!$C$3</definedName>
    <definedName name="PH_Phase_2_TaxRateProfit">'tk_Phase_2'!$C$6</definedName>
    <definedName name="PH_Phase_3_FeeMU">'tk_Phase_3'!$B$6</definedName>
    <definedName name="PH_Phase_3_LabCost">'tk_RangeNames'!$B$67</definedName>
    <definedName name="PH_Phase_3_LabCost2">'tk_RangeNames'!$B$68</definedName>
    <definedName name="PH_Phase_3_LaborMU">'tk_Phase_3'!$B$4</definedName>
    <definedName name="PH_Phase_3_LaborMU2">'tk_Phase_3'!$B$5</definedName>
    <definedName name="PH_Phase_3_LabQty">'tk_RangeNames'!$B$69</definedName>
    <definedName name="PH_Phase_3_LabQty2">'tk_RangeNames'!$B$70</definedName>
    <definedName name="PH_Phase_3_MatCost">'tk_RangeNames'!$B$65</definedName>
    <definedName name="PH_Phase_3_MatCost2">'tk_RangeNames'!$B$66</definedName>
    <definedName name="PH_Phase_3_MaterialMU">'tk_Phase_3'!$B$2</definedName>
    <definedName name="PH_Phase_3_MaterialMU2">'tk_Phase_3'!$B$3</definedName>
    <definedName name="PH_Phase_3_SubContract">'tk_RangeNames'!$B$71</definedName>
    <definedName name="PH_Phase_3_SubContractsMU">'tk_Phase_3'!$B$7</definedName>
    <definedName name="PH_Phase_3_Tax1Rate">'tk_Phase_3'!$B$8</definedName>
    <definedName name="PH_Phase_3_TaxRateBO">'tk_Phase_3'!$C$7</definedName>
    <definedName name="PH_Phase_3_TaxRateLabor">'tk_Phase_3'!$C$4</definedName>
    <definedName name="PH_Phase_3_TaxRateLabor2">'tk_Phase_3'!$C$5</definedName>
    <definedName name="PH_Phase_3_TaxRateMaterial">'tk_Phase_3'!$C$2</definedName>
    <definedName name="PH_Phase_3_TaxRateMaterial2">'tk_Phase_3'!$C$3</definedName>
    <definedName name="PH_Phase_3_TaxRateProfit">'tk_Phase_3'!$C$6</definedName>
    <definedName name="Portion_GC">'tk_RangeNames'!$B$20</definedName>
    <definedName name="Prod_FeeMU">'tk_Products'!$B$6</definedName>
    <definedName name="Prod_LaborMU">'tk_Products'!$B$4</definedName>
    <definedName name="Prod_LaborMU2">'tk_Products'!$B$5</definedName>
    <definedName name="Prod_MaterialMU">'tk_Products'!$B$2</definedName>
    <definedName name="Prod_MaterialMU2">'tk_Products'!$B$3</definedName>
    <definedName name="Prod_SubContractsMU">'tk_Products'!$B$7</definedName>
    <definedName name="Prod_Tax1Rate">'tk_Products'!$B$8</definedName>
    <definedName name="Prod_TaxRateBO">'tk_Products'!$C$7</definedName>
    <definedName name="Prod_TaxRateLabor">'tk_Products'!$C$4</definedName>
    <definedName name="Prod_TaxRateLabor2">'tk_Products'!$C$5</definedName>
    <definedName name="Prod_TaxRateMaterial">'tk_Products'!$C$2</definedName>
    <definedName name="Prod_TaxRateMaterial2">'tk_Products'!$C$3</definedName>
    <definedName name="Prod_TaxRateProfit">'tk_Products'!$C$6</definedName>
    <definedName name="ProjectFilter">'tk_RangeNames'!$B$32</definedName>
    <definedName name="ProjectName">'tk_RangeNames'!$B$31</definedName>
    <definedName name="ProjectTitle">'tk_RangeNames'!$B$30</definedName>
    <definedName name="Recap_FeeMU">'tk_Recap'!$B$6</definedName>
    <definedName name="Recap_LaborMU">'tk_Recap'!$B$4</definedName>
    <definedName name="Recap_LaborMU2">'tk_Recap'!$B$5</definedName>
    <definedName name="Recap_MaterialMU">'tk_Recap'!$B$2</definedName>
    <definedName name="Recap_MaterialMU2">'tk_Recap'!$B$3</definedName>
    <definedName name="Recap_SubContractsMU">'tk_Recap'!$B$7</definedName>
    <definedName name="Recap_Tax1Rate">'tk_Recap'!$B$8</definedName>
    <definedName name="Recap_TaxRateBO">'tk_Recap'!$C$7</definedName>
    <definedName name="Recap_TaxRateLabor">'tk_Recap'!$C$4</definedName>
    <definedName name="Recap_TaxRateLabor2">'tk_Recap'!$C$5</definedName>
    <definedName name="Recap_TaxRateMaterial">'tk_Recap'!$C$2</definedName>
    <definedName name="Recap_TaxRateMaterial2">'tk_Recap'!$C$3</definedName>
    <definedName name="Recap_TaxRateProfit">'tk_Recap'!$C$6</definedName>
    <definedName name="RV_CCO_1_FeeMU">'tk_CCO_1'!$B$6</definedName>
    <definedName name="RV_CCO_1_LaborMU">'tk_CCO_1'!$B$4</definedName>
    <definedName name="RV_CCO_1_LaborMU2">'tk_CCO_1'!$B$5</definedName>
    <definedName name="RV_CCO_1_MaterialMU">'tk_CCO_1'!$B$2</definedName>
    <definedName name="RV_CCO_1_MaterialMU2">'tk_CCO_1'!$B$3</definedName>
    <definedName name="RV_CCO_1_SubContractsMU">'tk_CCO_1'!$B$7</definedName>
    <definedName name="RV_CCO_1_Tax1Rate">'tk_CCO_1'!$B$8</definedName>
    <definedName name="RV_CCO_1_TaxRateBO">'tk_CCO_1'!$C$7</definedName>
    <definedName name="RV_CCO_1_TaxRateLabor">'tk_CCO_1'!$C$4</definedName>
    <definedName name="RV_CCO_1_TaxRateLabor2">'tk_CCO_1'!$C$5</definedName>
    <definedName name="RV_CCO_1_TaxRateMaterial">'tk_CCO_1'!$C$2</definedName>
    <definedName name="RV_CCO_1_TaxRateMaterial2">'tk_CCO_1'!$C$3</definedName>
    <definedName name="RV_CCO_1_TaxRateProfit">'tk_CCO_1'!$C$6</definedName>
    <definedName name="RV_Original_FeeMU">'tk_Original'!$B$6</definedName>
    <definedName name="RV_Original_LaborMU">'tk_Original'!$B$4</definedName>
    <definedName name="RV_Original_LaborMU2">'tk_Original'!$B$5</definedName>
    <definedName name="RV_Original_MaterialMU">'tk_Original'!$B$2</definedName>
    <definedName name="RV_Original_MaterialMU2">'tk_Original'!$B$3</definedName>
    <definedName name="RV_Original_SubContractsMU">'tk_Original'!$B$7</definedName>
    <definedName name="RV_Original_Tax1Rate">'tk_Original'!$B$8</definedName>
    <definedName name="RV_Original_TaxRateBO">'tk_Original'!$C$7</definedName>
    <definedName name="RV_Original_TaxRateLabor">'tk_Original'!$C$4</definedName>
    <definedName name="RV_Original_TaxRateLabor2">'tk_Original'!$C$5</definedName>
    <definedName name="RV_Original_TaxRateMaterial">'tk_Original'!$C$2</definedName>
    <definedName name="RV_Original_TaxRateMaterial2">'tk_Original'!$C$3</definedName>
    <definedName name="RV_Original_TaxRateProfit">'tk_Original'!$C$6</definedName>
    <definedName name="Tax_Amount">'tk_RangeNames'!$B$45</definedName>
    <definedName name="TaxRateAllowance">'tk_RangeNames'!$C$18</definedName>
    <definedName name="TaxRateBO">'tk_RangeNames'!$C$7</definedName>
    <definedName name="TaxRateGC">'tk_RangeNames'!$C$19</definedName>
    <definedName name="TaxRateLabor">'tk_RangeNames'!$C$4</definedName>
    <definedName name="TaxRateLabor2">'tk_RangeNames'!$C$5</definedName>
    <definedName name="TaxRateMaterial">'tk_RangeNames'!$C$2</definedName>
    <definedName name="TaxRateMaterial2">'tk_RangeNames'!$C$3</definedName>
    <definedName name="TaxRateProfit">'tk_RangeNames'!$C$6</definedName>
    <definedName name="TK_FeeMU">'tk_takeoff'!$B$6</definedName>
    <definedName name="TK_LaborMU">'tk_takeoff'!$B$4</definedName>
    <definedName name="TK_LaborMU2">'tk_takeoff'!$B$5</definedName>
    <definedName name="TK_MaterialMU">'tk_takeoff'!$B$2</definedName>
    <definedName name="TK_MaterialMU2">'tk_takeoff'!$B$3</definedName>
    <definedName name="TK_SubContractsMU">'tk_takeoff'!$B$7</definedName>
    <definedName name="TK_Tax1Rate">'tk_takeoff'!$B$8</definedName>
    <definedName name="TK_TaxRateBO">'tk_takeoff'!$C$7</definedName>
    <definedName name="TK_TaxRateLabor">'tk_takeoff'!$C$4</definedName>
    <definedName name="TK_TaxRateLabor2">'tk_takeoff'!$C$5</definedName>
    <definedName name="TK_TaxRateMaterial">'tk_takeoff'!$C$2</definedName>
    <definedName name="TK_TaxRateMaterial2">'tk_takeoff'!$C$3</definedName>
    <definedName name="TK_TaxRateProfit">'tk_takeoff'!$C$6</definedName>
    <definedName name="Total_Allowances">'tk_RangeNames'!$B$18</definedName>
    <definedName name="Total_FeeMU">'tk_RangeNames'!$B$6</definedName>
    <definedName name="Total_GC">'tk_RangeNames'!$B$19</definedName>
    <definedName name="Total_LaborCost">'tk_RangeNames'!$B$13</definedName>
    <definedName name="Total_LaborCost2">'tk_RangeNames'!$B$14</definedName>
    <definedName name="Total_LaborMU">'tk_RangeNames'!$B$4</definedName>
    <definedName name="Total_LaborMU2">'tk_RangeNames'!$B$5</definedName>
    <definedName name="Total_LaborQty1">'tk_RangeNames'!$B$15</definedName>
    <definedName name="Total_LaborQty2">'tk_RangeNames'!$B$16</definedName>
    <definedName name="Total_LaborSell">'tk_RangeNames'!$B$25</definedName>
    <definedName name="Total_LaborSell2">'tk_RangeNames'!$B$26</definedName>
    <definedName name="Total_MaterialCost">'tk_RangeNames'!$B$11</definedName>
    <definedName name="Total_MaterialCost2">'tk_RangeNames'!$B$12</definedName>
    <definedName name="Total_MaterialMU">'tk_RangeNames'!$B$2</definedName>
    <definedName name="Total_MaterialMU2">'tk_RangeNames'!$B$3</definedName>
    <definedName name="Total_MaterialSell">'tk_RangeNames'!$B$23</definedName>
    <definedName name="Total_MaterialSell2">'tk_RangeNames'!$B$24</definedName>
    <definedName name="Total_SimpleSell">'tk_RangeNames'!$B$27</definedName>
    <definedName name="Total_SubContracts">'tk_RangeNames'!$B$17</definedName>
    <definedName name="Total_SubContractsMU">'tk_RangeNames'!$B$7</definedName>
    <definedName name="Total_Tax1Rate">'tk_RangeNames'!$B$8</definedName>
  </definedNames>
  <calcPr fullCalcOnLoad="1"/>
</workbook>
</file>

<file path=xl/comments11.xml><?xml version="1.0" encoding="utf-8"?>
<comments xmlns="http://schemas.openxmlformats.org/spreadsheetml/2006/main">
  <authors>
    <author>Axel Wagner</author>
  </authors>
  <commentList>
    <comment ref="C12" authorId="0">
      <text>
        <r>
          <rPr>
            <b/>
            <sz val="8"/>
            <rFont val="Tahoma"/>
            <family val="0"/>
          </rPr>
          <t xml:space="preserve">Edging=$162.60
Hardware=$863.00
Sheet Goods=$1,368.05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Cabinet fab.=$686.42 (34.3 Hours)
Counter fab.=$70.40 (3.5 Hours)
Millwork fab.=$24.50 (1.2 Hours)
Miscellaneous=$225.00 (11.3 Hours)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Cabinet=$330.00 (8.3 Hours)
Counter=$59.67 (1.5 Hours)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Smith Bros. Distribution=$450.00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Lumber=$126.75
Mouldings=$1,379.25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Millwork fab.=$35.00 (1.8 Hours)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Finish Carpentry=$3,680.00 (92.0 Hours)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Edging=$25.44
Hardware=$151.88
Sheet Goods=$408.57
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Buyout=$1,000.00
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Cabinet fab.=$112.65 (5.6 Hours)
Counter fab.=$61.65 (3.1 Hours)
Millwork fab.=$55.85 (2.8 Hours)
Miscellaneous=$31.25 (1.6 Hours)
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Cabinet=$40.00 (1.0 Hours)
Counter=$40.67 (1.0 Hours)
Custom=$100.00 (2.5 Hours)
</t>
        </r>
      </text>
    </comment>
  </commentList>
</comments>
</file>

<file path=xl/comments12.xml><?xml version="1.0" encoding="utf-8"?>
<comments xmlns="http://schemas.openxmlformats.org/spreadsheetml/2006/main">
  <authors>
    <author>Axel Wagner</author>
  </authors>
  <commentList>
    <comment ref="K13" authorId="0">
      <text>
        <r>
          <rPr>
            <b/>
            <sz val="8"/>
            <rFont val="Tahoma"/>
            <family val="0"/>
          </rPr>
          <t xml:space="preserve">Edging=$8.35
Hardware=$20.24
Sheet Goods=$65.14
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Cabinet fab.=$47.42 (2.4 Hours)
Counter fab.=$2.00 (0.1 Hours)
Miscellaneous=$18.25 (0.9 Hours)
</t>
        </r>
      </text>
    </comment>
    <comment ref="O13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Edging=$8.17
Hardware=$12.84
Sheet Goods=$55.84
</t>
        </r>
      </text>
    </comment>
    <comment ref="L21" authorId="0">
      <text>
        <r>
          <rPr>
            <b/>
            <sz val="8"/>
            <rFont val="Tahoma"/>
            <family val="0"/>
          </rPr>
          <t xml:space="preserve">Cabinet fab.=$23.92 (1.2 Hours)
Counter fab.=$2.67 (0.1 Hours)
Miscellaneous=$9.00 (0.5 Hours)
</t>
        </r>
      </text>
    </comment>
    <comment ref="O21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9" authorId="0">
      <text>
        <r>
          <rPr>
            <b/>
            <sz val="8"/>
            <rFont val="Tahoma"/>
            <family val="0"/>
          </rPr>
          <t xml:space="preserve">Hardware=$5.00
Sheet Goods=$138.18
</t>
        </r>
      </text>
    </comment>
    <comment ref="L29" authorId="0">
      <text>
        <r>
          <rPr>
            <b/>
            <sz val="8"/>
            <rFont val="Tahoma"/>
            <family val="0"/>
          </rPr>
          <t xml:space="preserve">Cabinet fab.=$12.81 (0.6 Hours)
Counter fab.=$61.65 (3.1 Hours)
Millwork fab.=$2.65 (0.1 Hours)
Miscellaneous=$4.25 (0.2 Hours)
</t>
        </r>
      </text>
    </comment>
    <comment ref="O29" authorId="0">
      <text>
        <r>
          <rPr>
            <b/>
            <sz val="8"/>
            <rFont val="Tahoma"/>
            <family val="0"/>
          </rPr>
          <t xml:space="preserve">Counter=$40.67 (1.0 Hours)
</t>
        </r>
      </text>
    </comment>
    <comment ref="K37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37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37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38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38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38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39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39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39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40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40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40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41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41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41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42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42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42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43" authorId="0">
      <text>
        <r>
          <rPr>
            <b/>
            <sz val="8"/>
            <rFont val="Tahoma"/>
            <family val="0"/>
          </rPr>
          <t xml:space="preserve">Edging=$21.24
Hardware=$146.88
Sheet Goods=$222.26
</t>
        </r>
      </text>
    </comment>
    <comment ref="L43" authorId="0">
      <text>
        <r>
          <rPr>
            <b/>
            <sz val="8"/>
            <rFont val="Tahoma"/>
            <family val="0"/>
          </rPr>
          <t xml:space="preserve">Cabinet fab.=$93.82 (4.7 Hours)
Millwork fab.=$3.20 (0.2 Hours)
Miscellaneous=$26.50 (1.3 Hours)
</t>
        </r>
      </text>
    </comment>
    <comment ref="O43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51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51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51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52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52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52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N60" authorId="0">
      <text>
        <r>
          <rPr>
            <b/>
            <sz val="8"/>
            <rFont val="Tahoma"/>
            <family val="0"/>
          </rPr>
          <t xml:space="preserve">Buyout=$1,000.00
</t>
        </r>
      </text>
    </comment>
    <comment ref="K68" authorId="0">
      <text>
        <r>
          <rPr>
            <b/>
            <sz val="8"/>
            <rFont val="Tahoma"/>
            <family val="0"/>
          </rPr>
          <t xml:space="preserve">Mouldings=$1,050.00
</t>
        </r>
      </text>
    </comment>
    <comment ref="O68" authorId="0">
      <text>
        <r>
          <rPr>
            <b/>
            <sz val="8"/>
            <rFont val="Tahoma"/>
            <family val="0"/>
          </rPr>
          <t xml:space="preserve">Finish Carpentry=$2,800.00 (70.0 Hours)
</t>
        </r>
      </text>
    </comment>
    <comment ref="K69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69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70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70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78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78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78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79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79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79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87" authorId="0">
      <text>
        <r>
          <rPr>
            <b/>
            <sz val="8"/>
            <rFont val="Tahoma"/>
            <family val="0"/>
          </rPr>
          <t xml:space="preserve">Sheet Goods=$50.06
</t>
        </r>
      </text>
    </comment>
    <comment ref="L87" authorId="0">
      <text>
        <r>
          <rPr>
            <b/>
            <sz val="8"/>
            <rFont val="Tahoma"/>
            <family val="0"/>
          </rPr>
          <t xml:space="preserve">Cabinet fab.=$5.34 (0.3 Hours)
Counter fab.=$28.52 (1.4 Hours)
Miscellaneous=$4.25 (0.2 Hours)
</t>
        </r>
      </text>
    </comment>
    <comment ref="O87" authorId="0">
      <text>
        <r>
          <rPr>
            <b/>
            <sz val="8"/>
            <rFont val="Tahoma"/>
            <family val="0"/>
          </rPr>
          <t xml:space="preserve">Counter=$39.67 (1.0 Hours)
</t>
        </r>
      </text>
    </comment>
    <comment ref="K95" authorId="0">
      <text>
        <r>
          <rPr>
            <b/>
            <sz val="8"/>
            <rFont val="Tahoma"/>
            <family val="0"/>
          </rPr>
          <t xml:space="preserve">Edging=$11.68
Hardware=$26.00
Sheet Goods=$85.61
</t>
        </r>
      </text>
    </comment>
    <comment ref="L95" authorId="0">
      <text>
        <r>
          <rPr>
            <b/>
            <sz val="8"/>
            <rFont val="Tahoma"/>
            <family val="0"/>
          </rPr>
          <t xml:space="preserve">Cabinet fab.=$39.56 (2.0 Hours)
Counter fab.=$3.84 (0.2 Hours)
Miscellaneous=$14.50 (0.7 Hours)
</t>
        </r>
      </text>
    </comment>
    <comment ref="O95" authorId="0">
      <text>
        <r>
          <rPr>
            <b/>
            <sz val="8"/>
            <rFont val="Tahoma"/>
            <family val="0"/>
          </rPr>
          <t xml:space="preserve">Cabinet=$30.00 (0.8 Hours)
</t>
        </r>
      </text>
    </comment>
    <comment ref="K103" authorId="0">
      <text>
        <r>
          <rPr>
            <b/>
            <sz val="8"/>
            <rFont val="Tahoma"/>
            <family val="0"/>
          </rPr>
          <t xml:space="preserve">Edging=$4.20
Sheet Goods=$48.13
</t>
        </r>
      </text>
    </comment>
    <comment ref="L103" authorId="0">
      <text>
        <r>
          <rPr>
            <b/>
            <sz val="8"/>
            <rFont val="Tahoma"/>
            <family val="0"/>
          </rPr>
          <t xml:space="preserve">Cabinet fab.=$6.02 (0.3 Hours)
Millwork fab.=$50.00 (2.5 Hours)
Miscellaneous=$0.50 (0.0 Hours)
</t>
        </r>
      </text>
    </comment>
    <comment ref="O103" authorId="0">
      <text>
        <r>
          <rPr>
            <b/>
            <sz val="8"/>
            <rFont val="Tahoma"/>
            <family val="0"/>
          </rPr>
          <t xml:space="preserve">Custom=$100.00 (2.5 Hours)
</t>
        </r>
      </text>
    </comment>
    <comment ref="K111" authorId="0">
      <text>
        <r>
          <rPr>
            <b/>
            <sz val="8"/>
            <rFont val="Tahoma"/>
            <family val="0"/>
          </rPr>
          <t xml:space="preserve">Lumber=$126.75
Mouldings=$29.25
</t>
        </r>
      </text>
    </comment>
    <comment ref="L111" authorId="0">
      <text>
        <r>
          <rPr>
            <b/>
            <sz val="8"/>
            <rFont val="Tahoma"/>
            <family val="0"/>
          </rPr>
          <t xml:space="preserve">Millwork fab.=$35.00 (1.8 Hours)
</t>
        </r>
      </text>
    </comment>
    <comment ref="O111" authorId="0">
      <text>
        <r>
          <rPr>
            <b/>
            <sz val="8"/>
            <rFont val="Tahoma"/>
            <family val="0"/>
          </rPr>
          <t xml:space="preserve">Finish Carpentry=$80.00 (2.0 Hours)
</t>
        </r>
      </text>
    </comment>
    <comment ref="K119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119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120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120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128" authorId="0">
      <text>
        <r>
          <rPr>
            <b/>
            <sz val="8"/>
            <rFont val="Tahoma"/>
            <family val="0"/>
          </rPr>
          <t xml:space="preserve">Hardware=$0.08
Sheet Goods=$4.41
</t>
        </r>
      </text>
    </comment>
    <comment ref="L128" authorId="0">
      <text>
        <r>
          <rPr>
            <b/>
            <sz val="8"/>
            <rFont val="Tahoma"/>
            <family val="0"/>
          </rPr>
          <t xml:space="preserve">Cabinet fab.=$4.00 (0.2 Hours)
Counter fab.=$0.32 (0.0 Hours)
Miscellaneous=$1.50 (0.1 Hours)
</t>
        </r>
      </text>
    </comment>
    <comment ref="O128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136" authorId="0">
      <text>
        <r>
          <rPr>
            <b/>
            <sz val="8"/>
            <rFont val="Tahoma"/>
            <family val="0"/>
          </rPr>
          <t xml:space="preserve">Hardware=$0.16
Sheet Goods=$3.65
</t>
        </r>
      </text>
    </comment>
    <comment ref="L136" authorId="0">
      <text>
        <r>
          <rPr>
            <b/>
            <sz val="8"/>
            <rFont val="Tahoma"/>
            <family val="0"/>
          </rPr>
          <t xml:space="preserve">Cabinet fab.=$7.63 (0.4 Hours)
Counter fab.=$0.32 (0.0 Hours)
Miscellaneous=$3.00 (0.2 Hours)
</t>
        </r>
      </text>
    </comment>
    <comment ref="O136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</commentList>
</comments>
</file>

<file path=xl/comments2.xml><?xml version="1.0" encoding="utf-8"?>
<comments xmlns="http://schemas.openxmlformats.org/spreadsheetml/2006/main">
  <authors>
    <author>Axel Wagner</author>
  </authors>
  <commentList>
    <comment ref="K12" authorId="0">
      <text>
        <r>
          <rPr>
            <b/>
            <sz val="8"/>
            <rFont val="Tahoma"/>
            <family val="0"/>
          </rPr>
          <t xml:space="preserve">Mouldings=$1,050.00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Finish Carpentry=$2,800.00 (70.0 Hours)
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16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16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18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18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19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19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20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21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21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26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26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27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27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8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28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28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29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29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29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30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30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31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31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31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32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32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36" authorId="0">
      <text>
        <r>
          <rPr>
            <b/>
            <sz val="8"/>
            <rFont val="Tahoma"/>
            <family val="0"/>
          </rPr>
          <t xml:space="preserve">Edging=$4.20
Sheet Goods=$48.13
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Cabinet fab.=$6.02 (0.3 Hours)
Millwork fab.=$50.00 (2.5 Hours)
Miscellaneous=$0.50 (0.0 Hours)
</t>
        </r>
      </text>
    </comment>
    <comment ref="O36" authorId="0">
      <text>
        <r>
          <rPr>
            <b/>
            <sz val="8"/>
            <rFont val="Tahoma"/>
            <family val="0"/>
          </rPr>
          <t xml:space="preserve">Custom=$100.00 (2.5 Hours)
</t>
        </r>
      </text>
    </comment>
    <comment ref="K37" authorId="0">
      <text>
        <r>
          <rPr>
            <b/>
            <sz val="8"/>
            <rFont val="Tahoma"/>
            <family val="0"/>
          </rPr>
          <t xml:space="preserve">Edging=$21.24
Hardware=$146.88
Sheet Goods=$222.26
</t>
        </r>
      </text>
    </comment>
    <comment ref="L37" authorId="0">
      <text>
        <r>
          <rPr>
            <b/>
            <sz val="8"/>
            <rFont val="Tahoma"/>
            <family val="0"/>
          </rPr>
          <t xml:space="preserve">Cabinet fab.=$93.82 (4.7 Hours)
Millwork fab.=$3.20 (0.2 Hours)
Miscellaneous=$26.50 (1.3 Hours)
</t>
        </r>
      </text>
    </comment>
    <comment ref="O37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38" authorId="0">
      <text>
        <r>
          <rPr>
            <b/>
            <sz val="8"/>
            <rFont val="Tahoma"/>
            <family val="0"/>
          </rPr>
          <t xml:space="preserve">Hardware=$5.00
Sheet Goods=$138.18
</t>
        </r>
      </text>
    </comment>
    <comment ref="L38" authorId="0">
      <text>
        <r>
          <rPr>
            <b/>
            <sz val="8"/>
            <rFont val="Tahoma"/>
            <family val="0"/>
          </rPr>
          <t xml:space="preserve">Cabinet fab.=$12.81 (0.6 Hours)
Counter fab.=$61.65 (3.1 Hours)
Millwork fab.=$2.65 (0.1 Hours)
Miscellaneous=$4.25 (0.2 Hours)
</t>
        </r>
      </text>
    </comment>
    <comment ref="O38" authorId="0">
      <text>
        <r>
          <rPr>
            <b/>
            <sz val="8"/>
            <rFont val="Tahoma"/>
            <family val="0"/>
          </rPr>
          <t xml:space="preserve">Counter=$40.67 (1.0 Hours)
</t>
        </r>
      </text>
    </comment>
    <comment ref="N39" authorId="0">
      <text>
        <r>
          <rPr>
            <b/>
            <sz val="8"/>
            <rFont val="Tahoma"/>
            <family val="0"/>
          </rPr>
          <t xml:space="preserve">Buyout=$1,000.00
</t>
        </r>
      </text>
    </comment>
    <comment ref="K40" authorId="0">
      <text>
        <r>
          <rPr>
            <b/>
            <sz val="8"/>
            <rFont val="Tahoma"/>
            <family val="0"/>
          </rPr>
          <t xml:space="preserve">Lumber=$126.75
Mouldings=$29.25
</t>
        </r>
      </text>
    </comment>
    <comment ref="L40" authorId="0">
      <text>
        <r>
          <rPr>
            <b/>
            <sz val="8"/>
            <rFont val="Tahoma"/>
            <family val="0"/>
          </rPr>
          <t xml:space="preserve">Millwork fab.=$35.00 (1.8 Hours)
</t>
        </r>
      </text>
    </comment>
    <comment ref="O40" authorId="0">
      <text>
        <r>
          <rPr>
            <b/>
            <sz val="8"/>
            <rFont val="Tahoma"/>
            <family val="0"/>
          </rPr>
          <t xml:space="preserve">Finish Carpentry=$80.00 (2.0 Hours)
</t>
        </r>
      </text>
    </comment>
    <comment ref="K44" authorId="0">
      <text>
        <r>
          <rPr>
            <b/>
            <sz val="8"/>
            <rFont val="Tahoma"/>
            <family val="0"/>
          </rPr>
          <t xml:space="preserve">Hardware=$0.08
Sheet Goods=$4.41
</t>
        </r>
      </text>
    </comment>
    <comment ref="L44" authorId="0">
      <text>
        <r>
          <rPr>
            <b/>
            <sz val="8"/>
            <rFont val="Tahoma"/>
            <family val="0"/>
          </rPr>
          <t xml:space="preserve">Cabinet fab.=$4.00 (0.2 Hours)
Counter fab.=$0.32 (0.0 Hours)
Miscellaneous=$1.50 (0.1 Hours)
</t>
        </r>
      </text>
    </comment>
    <comment ref="O44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45" authorId="0">
      <text>
        <r>
          <rPr>
            <b/>
            <sz val="8"/>
            <rFont val="Tahoma"/>
            <family val="0"/>
          </rPr>
          <t xml:space="preserve">Edging=$8.35
Hardware=$20.24
Sheet Goods=$65.14
</t>
        </r>
      </text>
    </comment>
    <comment ref="L45" authorId="0">
      <text>
        <r>
          <rPr>
            <b/>
            <sz val="8"/>
            <rFont val="Tahoma"/>
            <family val="0"/>
          </rPr>
          <t xml:space="preserve">Cabinet fab.=$47.42 (2.4 Hours)
Counter fab.=$2.00 (0.1 Hours)
Miscellaneous=$18.25 (0.9 Hours)
</t>
        </r>
      </text>
    </comment>
    <comment ref="O45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46" authorId="0">
      <text>
        <r>
          <rPr>
            <b/>
            <sz val="8"/>
            <rFont val="Tahoma"/>
            <family val="0"/>
          </rPr>
          <t xml:space="preserve">Edging=$8.17
Hardware=$12.84
Sheet Goods=$55.84
</t>
        </r>
      </text>
    </comment>
    <comment ref="L46" authorId="0">
      <text>
        <r>
          <rPr>
            <b/>
            <sz val="8"/>
            <rFont val="Tahoma"/>
            <family val="0"/>
          </rPr>
          <t xml:space="preserve">Cabinet fab.=$23.92 (1.2 Hours)
Counter fab.=$2.67 (0.1 Hours)
Miscellaneous=$9.00 (0.5 Hours)
</t>
        </r>
      </text>
    </comment>
    <comment ref="O46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47" authorId="0">
      <text>
        <r>
          <rPr>
            <b/>
            <sz val="8"/>
            <rFont val="Tahoma"/>
            <family val="0"/>
          </rPr>
          <t xml:space="preserve">Sheet Goods=$50.06
</t>
        </r>
      </text>
    </comment>
    <comment ref="L47" authorId="0">
      <text>
        <r>
          <rPr>
            <b/>
            <sz val="8"/>
            <rFont val="Tahoma"/>
            <family val="0"/>
          </rPr>
          <t xml:space="preserve">Cabinet fab.=$5.34 (0.3 Hours)
Counter fab.=$28.52 (1.4 Hours)
Miscellaneous=$4.25 (0.2 Hours)
</t>
        </r>
      </text>
    </comment>
    <comment ref="O47" authorId="0">
      <text>
        <r>
          <rPr>
            <b/>
            <sz val="8"/>
            <rFont val="Tahoma"/>
            <family val="0"/>
          </rPr>
          <t xml:space="preserve">Counter=$39.67 (1.0 Hours)
</t>
        </r>
      </text>
    </comment>
    <comment ref="K48" authorId="0">
      <text>
        <r>
          <rPr>
            <b/>
            <sz val="8"/>
            <rFont val="Tahoma"/>
            <family val="0"/>
          </rPr>
          <t xml:space="preserve">Hardware=$0.16
Sheet Goods=$3.65
</t>
        </r>
      </text>
    </comment>
    <comment ref="L48" authorId="0">
      <text>
        <r>
          <rPr>
            <b/>
            <sz val="8"/>
            <rFont val="Tahoma"/>
            <family val="0"/>
          </rPr>
          <t xml:space="preserve">Cabinet fab.=$7.63 (0.4 Hours)
Counter fab.=$0.32 (0.0 Hours)
Miscellaneous=$3.00 (0.2 Hours)
</t>
        </r>
      </text>
    </comment>
    <comment ref="O48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49" authorId="0">
      <text>
        <r>
          <rPr>
            <b/>
            <sz val="8"/>
            <rFont val="Tahoma"/>
            <family val="0"/>
          </rPr>
          <t xml:space="preserve">Edging=$11.68
Hardware=$26.00
Sheet Goods=$85.61
</t>
        </r>
      </text>
    </comment>
    <comment ref="L49" authorId="0">
      <text>
        <r>
          <rPr>
            <b/>
            <sz val="8"/>
            <rFont val="Tahoma"/>
            <family val="0"/>
          </rPr>
          <t xml:space="preserve">Cabinet fab.=$39.56 (2.0 Hours)
Counter fab.=$3.84 (0.2 Hours)
Miscellaneous=$14.50 (0.7 Hours)
</t>
        </r>
      </text>
    </comment>
    <comment ref="O49" authorId="0">
      <text>
        <r>
          <rPr>
            <b/>
            <sz val="8"/>
            <rFont val="Tahoma"/>
            <family val="0"/>
          </rPr>
          <t xml:space="preserve">Cabinet=$30.00 (0.8 Hours)
</t>
        </r>
      </text>
    </comment>
  </commentList>
</comments>
</file>

<file path=xl/comments3.xml><?xml version="1.0" encoding="utf-8"?>
<comments xmlns="http://schemas.openxmlformats.org/spreadsheetml/2006/main">
  <authors>
    <author>Axel Wagner</author>
  </authors>
  <commentList>
    <comment ref="K12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12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13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14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15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15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15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16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22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23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23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4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24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24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25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25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26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27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27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32" authorId="0">
      <text>
        <r>
          <rPr>
            <b/>
            <sz val="8"/>
            <rFont val="Tahoma"/>
            <family val="0"/>
          </rPr>
          <t xml:space="preserve">Hardware=$0.08
Sheet Goods=$4.41
</t>
        </r>
      </text>
    </comment>
    <comment ref="L32" authorId="0">
      <text>
        <r>
          <rPr>
            <b/>
            <sz val="8"/>
            <rFont val="Tahoma"/>
            <family val="0"/>
          </rPr>
          <t xml:space="preserve">Cabinet fab.=$4.00 (0.2 Hours)
Counter fab.=$0.32 (0.0 Hours)
Miscellaneous=$1.50 (0.1 Hours)
</t>
        </r>
      </text>
    </comment>
    <comment ref="O32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33" authorId="0">
      <text>
        <r>
          <rPr>
            <b/>
            <sz val="8"/>
            <rFont val="Tahoma"/>
            <family val="0"/>
          </rPr>
          <t xml:space="preserve">Edging=$8.35
Hardware=$20.24
Sheet Goods=$65.14
</t>
        </r>
      </text>
    </comment>
    <comment ref="L33" authorId="0">
      <text>
        <r>
          <rPr>
            <b/>
            <sz val="8"/>
            <rFont val="Tahoma"/>
            <family val="0"/>
          </rPr>
          <t xml:space="preserve">Cabinet fab.=$47.42 (2.4 Hours)
Counter fab.=$2.00 (0.1 Hours)
Miscellaneous=$18.25 (0.9 Hours)
</t>
        </r>
      </text>
    </comment>
    <comment ref="O33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34" authorId="0">
      <text>
        <r>
          <rPr>
            <b/>
            <sz val="8"/>
            <rFont val="Tahoma"/>
            <family val="0"/>
          </rPr>
          <t xml:space="preserve">Edging=$8.17
Hardware=$12.84
Sheet Goods=$55.84
</t>
        </r>
      </text>
    </comment>
    <comment ref="L34" authorId="0">
      <text>
        <r>
          <rPr>
            <b/>
            <sz val="8"/>
            <rFont val="Tahoma"/>
            <family val="0"/>
          </rPr>
          <t xml:space="preserve">Cabinet fab.=$23.92 (1.2 Hours)
Counter fab.=$2.67 (0.1 Hours)
Miscellaneous=$9.00 (0.5 Hours)
</t>
        </r>
      </text>
    </comment>
    <comment ref="O34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35" authorId="0">
      <text>
        <r>
          <rPr>
            <b/>
            <sz val="8"/>
            <rFont val="Tahoma"/>
            <family val="0"/>
          </rPr>
          <t xml:space="preserve">Sheet Goods=$50.06
</t>
        </r>
      </text>
    </comment>
    <comment ref="L35" authorId="0">
      <text>
        <r>
          <rPr>
            <b/>
            <sz val="8"/>
            <rFont val="Tahoma"/>
            <family val="0"/>
          </rPr>
          <t xml:space="preserve">Cabinet fab.=$5.34 (0.3 Hours)
Counter fab.=$28.52 (1.4 Hours)
Miscellaneous=$4.25 (0.2 Hours)
</t>
        </r>
      </text>
    </comment>
    <comment ref="O35" authorId="0">
      <text>
        <r>
          <rPr>
            <b/>
            <sz val="8"/>
            <rFont val="Tahoma"/>
            <family val="0"/>
          </rPr>
          <t xml:space="preserve">Counter=$39.67 (1.0 Hours)
</t>
        </r>
      </text>
    </comment>
    <comment ref="K36" authorId="0">
      <text>
        <r>
          <rPr>
            <b/>
            <sz val="8"/>
            <rFont val="Tahoma"/>
            <family val="0"/>
          </rPr>
          <t xml:space="preserve">Hardware=$0.16
Sheet Goods=$3.65
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Cabinet fab.=$7.63 (0.4 Hours)
Counter fab.=$0.32 (0.0 Hours)
Miscellaneous=$3.00 (0.2 Hours)
</t>
        </r>
      </text>
    </comment>
    <comment ref="O36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37" authorId="0">
      <text>
        <r>
          <rPr>
            <b/>
            <sz val="8"/>
            <rFont val="Tahoma"/>
            <family val="0"/>
          </rPr>
          <t xml:space="preserve">Edging=$11.68
Hardware=$26.00
Sheet Goods=$85.61
</t>
        </r>
      </text>
    </comment>
    <comment ref="L37" authorId="0">
      <text>
        <r>
          <rPr>
            <b/>
            <sz val="8"/>
            <rFont val="Tahoma"/>
            <family val="0"/>
          </rPr>
          <t xml:space="preserve">Cabinet fab.=$39.56 (2.0 Hours)
Counter fab.=$3.84 (0.2 Hours)
Miscellaneous=$14.50 (0.7 Hours)
</t>
        </r>
      </text>
    </comment>
    <comment ref="O37" authorId="0">
      <text>
        <r>
          <rPr>
            <b/>
            <sz val="8"/>
            <rFont val="Tahoma"/>
            <family val="0"/>
          </rPr>
          <t xml:space="preserve">Cabinet=$30.00 (0.8 Hours)
</t>
        </r>
      </text>
    </comment>
  </commentList>
</comments>
</file>

<file path=xl/comments4.xml><?xml version="1.0" encoding="utf-8"?>
<comments xmlns="http://schemas.openxmlformats.org/spreadsheetml/2006/main">
  <authors>
    <author>Axel Wagner</author>
  </authors>
  <commentList>
    <comment ref="K12" authorId="0">
      <text>
        <r>
          <rPr>
            <b/>
            <sz val="8"/>
            <rFont val="Tahoma"/>
            <family val="0"/>
          </rPr>
          <t xml:space="preserve">Mouldings=$1,050.00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Finish Carpentry=$2,800.00 (70.0 Hours)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Lumber=$126.75
Mouldings=$29.25
</t>
        </r>
      </text>
    </comment>
    <comment ref="L27" authorId="0">
      <text>
        <r>
          <rPr>
            <b/>
            <sz val="8"/>
            <rFont val="Tahoma"/>
            <family val="0"/>
          </rPr>
          <t xml:space="preserve">Millwork fab.=$35.00 (1.8 Hours)
</t>
        </r>
      </text>
    </comment>
    <comment ref="O27" authorId="0">
      <text>
        <r>
          <rPr>
            <b/>
            <sz val="8"/>
            <rFont val="Tahoma"/>
            <family val="0"/>
          </rPr>
          <t xml:space="preserve">Finish Carpentry=$80.00 (2.0 Hours)
</t>
        </r>
      </text>
    </comment>
  </commentList>
</comments>
</file>

<file path=xl/comments5.xml><?xml version="1.0" encoding="utf-8"?>
<comments xmlns="http://schemas.openxmlformats.org/spreadsheetml/2006/main">
  <authors>
    <author>Axel Wagner</author>
  </authors>
  <commentList>
    <comment ref="K12" authorId="0">
      <text>
        <r>
          <rPr>
            <b/>
            <sz val="8"/>
            <rFont val="Tahoma"/>
            <family val="0"/>
          </rPr>
          <t xml:space="preserve">Edging=$4.20
Sheet Goods=$48.13
</t>
        </r>
      </text>
    </comment>
    <comment ref="L12" authorId="0">
      <text>
        <r>
          <rPr>
            <b/>
            <sz val="8"/>
            <rFont val="Tahoma"/>
            <family val="0"/>
          </rPr>
          <t xml:space="preserve">Cabinet fab.=$6.02 (0.3 Hours)
Millwork fab.=$50.00 (2.5 Hours)
Miscellaneous=$0.50 (0.0 Hours)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Custom=$100.00 (2.5 Hours)
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Edging=$21.24
Hardware=$146.88
Sheet Goods=$222.26
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Cabinet fab.=$93.82 (4.7 Hours)
Millwork fab.=$3.20 (0.2 Hours)
Miscellaneous=$26.50 (1.3 Hours)
</t>
        </r>
      </text>
    </comment>
    <comment ref="O13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Hardware=$5.00
Sheet Goods=$138.18
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Cabinet fab.=$12.81 (0.6 Hours)
Counter fab.=$61.65 (3.1 Hours)
Millwork fab.=$2.65 (0.1 Hours)
Miscellaneous=$4.25 (0.2 Hours)
</t>
        </r>
      </text>
    </comment>
    <comment ref="O14" authorId="0">
      <text>
        <r>
          <rPr>
            <b/>
            <sz val="8"/>
            <rFont val="Tahoma"/>
            <family val="0"/>
          </rPr>
          <t xml:space="preserve">Counter=$40.67 (1.0 Hours)
</t>
        </r>
      </text>
    </comment>
    <comment ref="N15" authorId="0">
      <text>
        <r>
          <rPr>
            <b/>
            <sz val="8"/>
            <rFont val="Tahoma"/>
            <family val="0"/>
          </rPr>
          <t xml:space="preserve">Buyout=$1,000.00
</t>
        </r>
      </text>
    </comment>
  </commentList>
</comments>
</file>

<file path=xl/comments6.xml><?xml version="1.0" encoding="utf-8"?>
<comments xmlns="http://schemas.openxmlformats.org/spreadsheetml/2006/main">
  <authors>
    <author>Axel Wagner</author>
  </authors>
  <commentList>
    <comment ref="K12" authorId="0">
      <text>
        <r>
          <rPr>
            <b/>
            <sz val="8"/>
            <rFont val="Tahoma"/>
            <family val="0"/>
          </rPr>
          <t xml:space="preserve">Lumber=$126.75
Mouldings=$29.25
</t>
        </r>
      </text>
    </comment>
    <comment ref="L12" authorId="0">
      <text>
        <r>
          <rPr>
            <b/>
            <sz val="8"/>
            <rFont val="Tahoma"/>
            <family val="0"/>
          </rPr>
          <t xml:space="preserve">Millwork fab.=$35.00 (1.8 Hours)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Finish Carpentry=$80.00 (2.0 Hours)
</t>
        </r>
      </text>
    </comment>
  </commentList>
</comments>
</file>

<file path=xl/comments7.xml><?xml version="1.0" encoding="utf-8"?>
<comments xmlns="http://schemas.openxmlformats.org/spreadsheetml/2006/main">
  <authors>
    <author>Axel Wagner</author>
  </authors>
  <commentList>
    <comment ref="K12" authorId="0">
      <text>
        <r>
          <rPr>
            <b/>
            <sz val="8"/>
            <rFont val="Tahoma"/>
            <family val="0"/>
          </rPr>
          <t xml:space="preserve">Mouldings=$1,050.00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Finish Carpentry=$2,800.00 (70.0 Hours)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18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18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19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19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20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20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21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22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23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28" authorId="0">
      <text>
        <r>
          <rPr>
            <b/>
            <sz val="8"/>
            <rFont val="Tahoma"/>
            <family val="0"/>
          </rPr>
          <t xml:space="preserve">Edging=$21.60
Hardware=$172.08
Sheet Goods=$158.59
</t>
        </r>
      </text>
    </comment>
    <comment ref="L28" authorId="0">
      <text>
        <r>
          <rPr>
            <b/>
            <sz val="8"/>
            <rFont val="Tahoma"/>
            <family val="0"/>
          </rPr>
          <t xml:space="preserve">Cabinet fab.=$109.04 (5.5 Hours)
Millwork fab.=$4.80 (0.2 Hours)
Miscellaneous=$33.50 (1.7 Hours)
</t>
        </r>
      </text>
    </comment>
    <comment ref="O28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29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29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29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30" authorId="0">
      <text>
        <r>
          <rPr>
            <b/>
            <sz val="8"/>
            <rFont val="Tahoma"/>
            <family val="0"/>
          </rPr>
          <t xml:space="preserve">Edging=$18.60
Hardware=$114.88
Sheet Goods=$156.46
</t>
        </r>
      </text>
    </comment>
    <comment ref="L30" authorId="0">
      <text>
        <r>
          <rPr>
            <b/>
            <sz val="8"/>
            <rFont val="Tahoma"/>
            <family val="0"/>
          </rPr>
          <t xml:space="preserve">Cabinet fab.=$80.12 (4.0 Hours)
Millwork fab.=$3.20 (0.2 Hours)
Miscellaneous=$24.50 (1.2 Hours)
</t>
        </r>
      </text>
    </comment>
    <comment ref="O30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31" authorId="0">
      <text>
        <r>
          <rPr>
            <b/>
            <sz val="8"/>
            <rFont val="Tahoma"/>
            <family val="0"/>
          </rPr>
          <t xml:space="preserve">Edging=$10.14
Hardware=$57.44
Sheet Goods=$81.05
</t>
        </r>
      </text>
    </comment>
    <comment ref="L31" authorId="0">
      <text>
        <r>
          <rPr>
            <b/>
            <sz val="8"/>
            <rFont val="Tahoma"/>
            <family val="0"/>
          </rPr>
          <t xml:space="preserve">Cabinet fab.=$41.47 (2.1 Hours)
Millwork fab.=$1.60 (0.1 Hours)
Miscellaneous=$12.75 (0.6 Hours)
</t>
        </r>
      </text>
    </comment>
    <comment ref="O31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32" authorId="0">
      <text>
        <r>
          <rPr>
            <b/>
            <sz val="8"/>
            <rFont val="Tahoma"/>
            <family val="0"/>
          </rPr>
          <t xml:space="preserve">Edging=$6.72
Sheet Goods=$24.71
</t>
        </r>
      </text>
    </comment>
    <comment ref="L32" authorId="0">
      <text>
        <r>
          <rPr>
            <b/>
            <sz val="8"/>
            <rFont val="Tahoma"/>
            <family val="0"/>
          </rPr>
          <t xml:space="preserve">Cabinet fab.=$2.18 (0.1 Hours)
Miscellaneous=$1.25 (0.1 Hours)
</t>
        </r>
      </text>
    </comment>
    <comment ref="K33" authorId="0">
      <text>
        <r>
          <rPr>
            <b/>
            <sz val="8"/>
            <rFont val="Tahoma"/>
            <family val="0"/>
          </rPr>
          <t xml:space="preserve">Sheet Goods=$49.81
</t>
        </r>
      </text>
    </comment>
    <comment ref="L33" authorId="0">
      <text>
        <r>
          <rPr>
            <b/>
            <sz val="8"/>
            <rFont val="Tahoma"/>
            <family val="0"/>
          </rPr>
          <t xml:space="preserve">Cabinet fab.=$4.99 (0.2 Hours)
Counter fab.=$16.37 (0.8 Hours)
Millwork fab.=$1.05 (0.1 Hours)
Miscellaneous=$2.50 (0.1 Hours)
</t>
        </r>
      </text>
    </comment>
    <comment ref="O33" authorId="0">
      <text>
        <r>
          <rPr>
            <b/>
            <sz val="8"/>
            <rFont val="Tahoma"/>
            <family val="0"/>
          </rPr>
          <t xml:space="preserve">Counter=$10.00 (0.3 Hours)
</t>
        </r>
      </text>
    </comment>
    <comment ref="K34" authorId="0">
      <text>
        <r>
          <rPr>
            <b/>
            <sz val="8"/>
            <rFont val="Tahoma"/>
            <family val="0"/>
          </rPr>
          <t xml:space="preserve">Mouldings=$150.00
</t>
        </r>
      </text>
    </comment>
    <comment ref="O34" authorId="0">
      <text>
        <r>
          <rPr>
            <b/>
            <sz val="8"/>
            <rFont val="Tahoma"/>
            <family val="0"/>
          </rPr>
          <t xml:space="preserve">Finish Carpentry=$400.00 (10.0 Hours)
</t>
        </r>
      </text>
    </comment>
    <comment ref="K39" authorId="0">
      <text>
        <r>
          <rPr>
            <b/>
            <sz val="8"/>
            <rFont val="Tahoma"/>
            <family val="0"/>
          </rPr>
          <t xml:space="preserve">Edging=$4.20
Sheet Goods=$48.13
</t>
        </r>
      </text>
    </comment>
    <comment ref="L39" authorId="0">
      <text>
        <r>
          <rPr>
            <b/>
            <sz val="8"/>
            <rFont val="Tahoma"/>
            <family val="0"/>
          </rPr>
          <t xml:space="preserve">Cabinet fab.=$6.02 (0.3 Hours)
Millwork fab.=$50.00 (2.5 Hours)
Miscellaneous=$0.50 (0.0 Hours)
</t>
        </r>
      </text>
    </comment>
    <comment ref="O39" authorId="0">
      <text>
        <r>
          <rPr>
            <b/>
            <sz val="8"/>
            <rFont val="Tahoma"/>
            <family val="0"/>
          </rPr>
          <t xml:space="preserve">Custom=$100.00 (2.5 Hours)
</t>
        </r>
      </text>
    </comment>
    <comment ref="K40" authorId="0">
      <text>
        <r>
          <rPr>
            <b/>
            <sz val="8"/>
            <rFont val="Tahoma"/>
            <family val="0"/>
          </rPr>
          <t xml:space="preserve">Edging=$21.24
Hardware=$146.88
Sheet Goods=$222.26
</t>
        </r>
      </text>
    </comment>
    <comment ref="L40" authorId="0">
      <text>
        <r>
          <rPr>
            <b/>
            <sz val="8"/>
            <rFont val="Tahoma"/>
            <family val="0"/>
          </rPr>
          <t xml:space="preserve">Cabinet fab.=$93.82 (4.7 Hours)
Millwork fab.=$3.20 (0.2 Hours)
Miscellaneous=$26.50 (1.3 Hours)
</t>
        </r>
      </text>
    </comment>
    <comment ref="O40" authorId="0">
      <text>
        <r>
          <rPr>
            <b/>
            <sz val="8"/>
            <rFont val="Tahoma"/>
            <family val="0"/>
          </rPr>
          <t xml:space="preserve">Cabinet=$40.00 (1.0 Hours)
</t>
        </r>
      </text>
    </comment>
    <comment ref="K41" authorId="0">
      <text>
        <r>
          <rPr>
            <b/>
            <sz val="8"/>
            <rFont val="Tahoma"/>
            <family val="0"/>
          </rPr>
          <t xml:space="preserve">Hardware=$5.00
Sheet Goods=$138.18
</t>
        </r>
      </text>
    </comment>
    <comment ref="L41" authorId="0">
      <text>
        <r>
          <rPr>
            <b/>
            <sz val="8"/>
            <rFont val="Tahoma"/>
            <family val="0"/>
          </rPr>
          <t xml:space="preserve">Cabinet fab.=$12.81 (0.6 Hours)
Counter fab.=$61.65 (3.1 Hours)
Millwork fab.=$2.65 (0.1 Hours)
Miscellaneous=$4.25 (0.2 Hours)
</t>
        </r>
      </text>
    </comment>
    <comment ref="O41" authorId="0">
      <text>
        <r>
          <rPr>
            <b/>
            <sz val="8"/>
            <rFont val="Tahoma"/>
            <family val="0"/>
          </rPr>
          <t xml:space="preserve">Counter=$40.67 (1.0 Hours)
</t>
        </r>
      </text>
    </comment>
    <comment ref="N42" authorId="0">
      <text>
        <r>
          <rPr>
            <b/>
            <sz val="8"/>
            <rFont val="Tahoma"/>
            <family val="0"/>
          </rPr>
          <t xml:space="preserve">Buyout=$1,000.00
</t>
        </r>
      </text>
    </comment>
    <comment ref="K47" authorId="0">
      <text>
        <r>
          <rPr>
            <b/>
            <sz val="8"/>
            <rFont val="Tahoma"/>
            <family val="0"/>
          </rPr>
          <t xml:space="preserve">Hardware=$0.08
Sheet Goods=$4.41
</t>
        </r>
      </text>
    </comment>
    <comment ref="L47" authorId="0">
      <text>
        <r>
          <rPr>
            <b/>
            <sz val="8"/>
            <rFont val="Tahoma"/>
            <family val="0"/>
          </rPr>
          <t xml:space="preserve">Cabinet fab.=$4.00 (0.2 Hours)
Counter fab.=$0.32 (0.0 Hours)
Miscellaneous=$1.50 (0.1 Hours)
</t>
        </r>
      </text>
    </comment>
    <comment ref="O47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48" authorId="0">
      <text>
        <r>
          <rPr>
            <b/>
            <sz val="8"/>
            <rFont val="Tahoma"/>
            <family val="0"/>
          </rPr>
          <t xml:space="preserve">Edging=$8.35
Hardware=$20.24
Sheet Goods=$65.14
</t>
        </r>
      </text>
    </comment>
    <comment ref="L48" authorId="0">
      <text>
        <r>
          <rPr>
            <b/>
            <sz val="8"/>
            <rFont val="Tahoma"/>
            <family val="0"/>
          </rPr>
          <t xml:space="preserve">Cabinet fab.=$47.42 (2.4 Hours)
Counter fab.=$2.00 (0.1 Hours)
Miscellaneous=$18.25 (0.9 Hours)
</t>
        </r>
      </text>
    </comment>
    <comment ref="O48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49" authorId="0">
      <text>
        <r>
          <rPr>
            <b/>
            <sz val="8"/>
            <rFont val="Tahoma"/>
            <family val="0"/>
          </rPr>
          <t xml:space="preserve">Edging=$8.17
Hardware=$12.84
Sheet Goods=$55.84
</t>
        </r>
      </text>
    </comment>
    <comment ref="L49" authorId="0">
      <text>
        <r>
          <rPr>
            <b/>
            <sz val="8"/>
            <rFont val="Tahoma"/>
            <family val="0"/>
          </rPr>
          <t xml:space="preserve">Cabinet fab.=$23.92 (1.2 Hours)
Counter fab.=$2.67 (0.1 Hours)
Miscellaneous=$9.00 (0.5 Hours)
</t>
        </r>
      </text>
    </comment>
    <comment ref="O49" authorId="0">
      <text>
        <r>
          <rPr>
            <b/>
            <sz val="8"/>
            <rFont val="Tahoma"/>
            <family val="0"/>
          </rPr>
          <t xml:space="preserve">Cabinet=$20.00 (0.5 Hours)
</t>
        </r>
      </text>
    </comment>
    <comment ref="K50" authorId="0">
      <text>
        <r>
          <rPr>
            <b/>
            <sz val="8"/>
            <rFont val="Tahoma"/>
            <family val="0"/>
          </rPr>
          <t xml:space="preserve">Sheet Goods=$50.06
</t>
        </r>
      </text>
    </comment>
    <comment ref="L50" authorId="0">
      <text>
        <r>
          <rPr>
            <b/>
            <sz val="8"/>
            <rFont val="Tahoma"/>
            <family val="0"/>
          </rPr>
          <t xml:space="preserve">Cabinet fab.=$5.34 (0.3 Hours)
Counter fab.=$28.52 (1.4 Hours)
Miscellaneous=$4.25 (0.2 Hours)
</t>
        </r>
      </text>
    </comment>
    <comment ref="O50" authorId="0">
      <text>
        <r>
          <rPr>
            <b/>
            <sz val="8"/>
            <rFont val="Tahoma"/>
            <family val="0"/>
          </rPr>
          <t xml:space="preserve">Counter=$39.67 (1.0 Hours)
</t>
        </r>
      </text>
    </comment>
    <comment ref="K51" authorId="0">
      <text>
        <r>
          <rPr>
            <b/>
            <sz val="8"/>
            <rFont val="Tahoma"/>
            <family val="0"/>
          </rPr>
          <t xml:space="preserve">Hardware=$0.16
Sheet Goods=$3.65
</t>
        </r>
      </text>
    </comment>
    <comment ref="L51" authorId="0">
      <text>
        <r>
          <rPr>
            <b/>
            <sz val="8"/>
            <rFont val="Tahoma"/>
            <family val="0"/>
          </rPr>
          <t xml:space="preserve">Cabinet fab.=$7.63 (0.4 Hours)
Counter fab.=$0.32 (0.0 Hours)
Miscellaneous=$3.00 (0.2 Hours)
</t>
        </r>
      </text>
    </comment>
    <comment ref="O51" authorId="0">
      <text>
        <r>
          <rPr>
            <b/>
            <sz val="8"/>
            <rFont val="Tahoma"/>
            <family val="0"/>
          </rPr>
          <t xml:space="preserve">Cabinet=$10.00 (0.3 Hours)
</t>
        </r>
      </text>
    </comment>
    <comment ref="K52" authorId="0">
      <text>
        <r>
          <rPr>
            <b/>
            <sz val="8"/>
            <rFont val="Tahoma"/>
            <family val="0"/>
          </rPr>
          <t xml:space="preserve">Edging=$11.68
Hardware=$26.00
Sheet Goods=$85.61
</t>
        </r>
      </text>
    </comment>
    <comment ref="L52" authorId="0">
      <text>
        <r>
          <rPr>
            <b/>
            <sz val="8"/>
            <rFont val="Tahoma"/>
            <family val="0"/>
          </rPr>
          <t xml:space="preserve">Cabinet fab.=$39.56 (2.0 Hours)
Counter fab.=$3.84 (0.2 Hours)
Miscellaneous=$14.50 (0.7 Hours)
</t>
        </r>
      </text>
    </comment>
    <comment ref="O52" authorId="0">
      <text>
        <r>
          <rPr>
            <b/>
            <sz val="8"/>
            <rFont val="Tahoma"/>
            <family val="0"/>
          </rPr>
          <t xml:space="preserve">Cabinet=$30.00 (0.8 Hours)
</t>
        </r>
      </text>
    </comment>
  </commentList>
</comments>
</file>

<file path=xl/sharedStrings.xml><?xml version="1.0" encoding="utf-8"?>
<sst xmlns="http://schemas.openxmlformats.org/spreadsheetml/2006/main" count="3005" uniqueCount="1045">
  <si>
    <t xml:space="preserve"> </t>
  </si>
  <si>
    <t>Costs $</t>
  </si>
  <si>
    <t>Subtotal</t>
  </si>
  <si>
    <t>Tax1</t>
  </si>
  <si>
    <t>Tax2</t>
  </si>
  <si>
    <t>Grand total</t>
  </si>
  <si>
    <t>Project</t>
  </si>
  <si>
    <t>Allowances</t>
  </si>
  <si>
    <t>Simple Costs</t>
  </si>
  <si>
    <t>sample sheet</t>
  </si>
  <si>
    <t>Sub Contracts</t>
  </si>
  <si>
    <t>Site Labor Markup</t>
  </si>
  <si>
    <t>Profit</t>
  </si>
  <si>
    <t>SubContracts</t>
  </si>
  <si>
    <t>Markup</t>
  </si>
  <si>
    <t>Buyout Material Markup</t>
  </si>
  <si>
    <t>Starlight Jewellers</t>
  </si>
  <si>
    <t>Filter</t>
  </si>
  <si>
    <t>None</t>
  </si>
  <si>
    <t>Material Buyout</t>
  </si>
  <si>
    <t>Labor Site</t>
  </si>
  <si>
    <t>Label for Markup</t>
  </si>
  <si>
    <t>PH_Phase_2</t>
  </si>
  <si>
    <t>PH_Phase_2: Material Cost</t>
  </si>
  <si>
    <t>PH_Phase_2: Material2 Cost</t>
  </si>
  <si>
    <t>PH_Phase_2: Labor Cost</t>
  </si>
  <si>
    <t>PH_Phase_2: Labor2 Cost</t>
  </si>
  <si>
    <t>PH_Phase_2: Labor Qty</t>
  </si>
  <si>
    <t>PH_Phase_2: Labor2 Qty</t>
  </si>
  <si>
    <t>PH_Phase_2: Sub Contracts Cost</t>
  </si>
  <si>
    <t>PH_Phase_3</t>
  </si>
  <si>
    <t>Phase 3-Custom</t>
  </si>
  <si>
    <t>PH_Phase_3: Material Cost</t>
  </si>
  <si>
    <t>PH_Phase_3: Material2 Cost</t>
  </si>
  <si>
    <t>PH_Phase_3: Labor Cost</t>
  </si>
  <si>
    <t>PH_Phase_3: Labor2 Cost</t>
  </si>
  <si>
    <t>PH_Phase_3: Labor Qty</t>
  </si>
  <si>
    <t>PH_Phase_3: Labor2 Qty</t>
  </si>
  <si>
    <t>PH_Phase_3: Sub Contracts Cost</t>
  </si>
  <si>
    <t>Range Name</t>
  </si>
  <si>
    <t>Source cell</t>
  </si>
  <si>
    <t>Copy/Paste cell</t>
  </si>
  <si>
    <t>Label_Fee</t>
  </si>
  <si>
    <t>Label_LaborCost1</t>
  </si>
  <si>
    <t>=tk_RangeNames!$A$14</t>
  </si>
  <si>
    <t>Label_LaborCost2</t>
  </si>
  <si>
    <t>Label_Markup</t>
  </si>
  <si>
    <t>Label_MaterialCost1</t>
  </si>
  <si>
    <t>=tk_RangeNames!$A$12</t>
  </si>
  <si>
    <t>Label_MaterialCost2</t>
  </si>
  <si>
    <t>=tk_RangeNames!$A$13</t>
  </si>
  <si>
    <t>PH_Phase_2_LabCost</t>
  </si>
  <si>
    <t>PH_Phase_2_LabCost2</t>
  </si>
  <si>
    <t>PH_Phase_2_LabQty</t>
  </si>
  <si>
    <t>PH_Phase_2_LabQty2</t>
  </si>
  <si>
    <t>=tk_RangeNames!$B$30</t>
  </si>
  <si>
    <t>PH_Phase_2_MatCost</t>
  </si>
  <si>
    <t>=tk_RangeNames!$B$25</t>
  </si>
  <si>
    <t>PH_Phase_2_MatCost2</t>
  </si>
  <si>
    <t>=tk_RangeNames!$B$26</t>
  </si>
  <si>
    <t>PH_Phase_2_SubContract</t>
  </si>
  <si>
    <t>=tk_RangeNames!$B$31</t>
  </si>
  <si>
    <t>PH_Phase_3_LabCost</t>
  </si>
  <si>
    <t>=tk_RangeNames!$B$35</t>
  </si>
  <si>
    <t>PH_Phase_3_LabCost2</t>
  </si>
  <si>
    <t>=tk_RangeNames!$B$36</t>
  </si>
  <si>
    <t>PH_Phase_3_LabQty</t>
  </si>
  <si>
    <t>=tk_RangeNames!$B$37</t>
  </si>
  <si>
    <t>PH_Phase_3_LabQty2</t>
  </si>
  <si>
    <t>=tk_RangeNames!$B$38</t>
  </si>
  <si>
    <t>PH_Phase_3_MatCost</t>
  </si>
  <si>
    <t>=tk_RangeNames!$B$33</t>
  </si>
  <si>
    <t>PH_Phase_3_MatCost2</t>
  </si>
  <si>
    <t>=tk_RangeNames!$B$34</t>
  </si>
  <si>
    <t>PH_Phase_3_SubContract</t>
  </si>
  <si>
    <t>=tk_RangeNames!$B$39</t>
  </si>
  <si>
    <t>=tk_RangeNames!$B$43</t>
  </si>
  <si>
    <t>=tk_RangeNames!$B$41</t>
  </si>
  <si>
    <t>=tk_RangeNames!$B$42</t>
  </si>
  <si>
    <t>ProjectFilter</t>
  </si>
  <si>
    <t>=tk_RangeNames!$B$11</t>
  </si>
  <si>
    <t>ProjectTitle</t>
  </si>
  <si>
    <t>Total_Allowances</t>
  </si>
  <si>
    <t>=tk_RangeNames!$B$19</t>
  </si>
  <si>
    <t>Total_FeeMU</t>
  </si>
  <si>
    <t>=tk_RangeNames!$B$6</t>
  </si>
  <si>
    <t>=tk_RangeNames!$B$14</t>
  </si>
  <si>
    <t>Total_LaborCost2</t>
  </si>
  <si>
    <t>=tk_RangeNames!$B$15</t>
  </si>
  <si>
    <t>Total_LaborMU</t>
  </si>
  <si>
    <t>=tk_RangeNames!$B$4</t>
  </si>
  <si>
    <t>Total_LaborMU2</t>
  </si>
  <si>
    <t>=tk_RangeNames!$B$5</t>
  </si>
  <si>
    <t>Total_LaborQty1</t>
  </si>
  <si>
    <t>=tk_RangeNames!$B$16</t>
  </si>
  <si>
    <t>Total_LaborQty2</t>
  </si>
  <si>
    <t>=tk_RangeNames!$B$17</t>
  </si>
  <si>
    <t>=tk_RangeNames!$B$12</t>
  </si>
  <si>
    <t>Total_MaterialCost2</t>
  </si>
  <si>
    <t>=tk_RangeNames!$B$13</t>
  </si>
  <si>
    <t>Total_MaterialMU</t>
  </si>
  <si>
    <t>=tk_RangeNames!$B$2</t>
  </si>
  <si>
    <t>Total_MaterialMU2</t>
  </si>
  <si>
    <t>=tk_RangeNames!$B$3</t>
  </si>
  <si>
    <t>Total_SubContracts</t>
  </si>
  <si>
    <t>=tk_RangeNames!$B$18</t>
  </si>
  <si>
    <t>Total_SubContractsMU</t>
  </si>
  <si>
    <t>=tk_RangeNames!$B$7</t>
  </si>
  <si>
    <t>Global Rate Table</t>
  </si>
  <si>
    <t>Sub Contract Markup</t>
  </si>
  <si>
    <t>General Conditions</t>
  </si>
  <si>
    <t>Simple sell(Cost+Markup+Profit)</t>
  </si>
  <si>
    <t>SimpleSell</t>
  </si>
  <si>
    <t>Project Title</t>
  </si>
  <si>
    <t>Project Name</t>
  </si>
  <si>
    <t>Tutorial</t>
  </si>
  <si>
    <t>Filtered Portion</t>
  </si>
  <si>
    <t>Label for Fee</t>
  </si>
  <si>
    <t>Contact1</t>
  </si>
  <si>
    <t>Interior Space Planners Inc.</t>
  </si>
  <si>
    <t>Contact2</t>
  </si>
  <si>
    <t>Contact3</t>
  </si>
  <si>
    <t>Contact4</t>
  </si>
  <si>
    <t>Label Contact1</t>
  </si>
  <si>
    <t>Label Contact2</t>
  </si>
  <si>
    <t>Label Contact3</t>
  </si>
  <si>
    <t>Label Contact4</t>
  </si>
  <si>
    <t>Bid Date</t>
  </si>
  <si>
    <t>PH_Phase_1</t>
  </si>
  <si>
    <t>Phase 1-Casework and tops</t>
  </si>
  <si>
    <t>PH_Phase_1: Material Cost</t>
  </si>
  <si>
    <t>PH_Phase_1: Material2 Cost</t>
  </si>
  <si>
    <t>PH_Phase_1: Labor Cost</t>
  </si>
  <si>
    <t>PH_Phase_1: Labor2 Cost</t>
  </si>
  <si>
    <t>PH_Phase_1: Labor Qty</t>
  </si>
  <si>
    <t>PH_Phase_1: Labor2 Qty</t>
  </si>
  <si>
    <t>PH_Phase_1: Sub Contracts Cost</t>
  </si>
  <si>
    <t>Phase 2-Finish Carpentry</t>
  </si>
  <si>
    <t>Bid_Date</t>
  </si>
  <si>
    <t>FilteredPortion</t>
  </si>
  <si>
    <t>=tk_RangeNames!$B$32</t>
  </si>
  <si>
    <t>Label_Contact1</t>
  </si>
  <si>
    <t>Label_Contact2</t>
  </si>
  <si>
    <t>=tk_RangeNames!$B$40</t>
  </si>
  <si>
    <t>Label_Contact3</t>
  </si>
  <si>
    <t>Label_Contact4</t>
  </si>
  <si>
    <t>=tk_RangeNames!$A$11</t>
  </si>
  <si>
    <t>PH_Phase_1_LabCost</t>
  </si>
  <si>
    <t>=tk_RangeNames!$B$49</t>
  </si>
  <si>
    <t>PH_Phase_1_LabCost2</t>
  </si>
  <si>
    <t>=tk_RangeNames!$B$50</t>
  </si>
  <si>
    <t>PH_Phase_1_LabQty</t>
  </si>
  <si>
    <t>=tk_RangeNames!$B$51</t>
  </si>
  <si>
    <t>PH_Phase_1_LabQty2</t>
  </si>
  <si>
    <t>=tk_RangeNames!$B$52</t>
  </si>
  <si>
    <t>PH_Phase_1_MatCost</t>
  </si>
  <si>
    <t>PH_Phase_1_MatCost2</t>
  </si>
  <si>
    <t>PH_Phase_1_SubContract</t>
  </si>
  <si>
    <t>=tk_RangeNames!$B$53</t>
  </si>
  <si>
    <t>=tk_RangeNames!$B$57</t>
  </si>
  <si>
    <t>=tk_RangeNames!$B$58</t>
  </si>
  <si>
    <t>=tk_RangeNames!$B$59</t>
  </si>
  <si>
    <t>=tk_RangeNames!$B$60</t>
  </si>
  <si>
    <t>=tk_RangeNames!$B$55</t>
  </si>
  <si>
    <t>=tk_RangeNames!$B$61</t>
  </si>
  <si>
    <t>=tk_RangeNames!$B$65</t>
  </si>
  <si>
    <t>=tk_RangeNames!$B$66</t>
  </si>
  <si>
    <t>=tk_RangeNames!$B$67</t>
  </si>
  <si>
    <t>=tk_RangeNames!$B$68</t>
  </si>
  <si>
    <t>=tk_RangeNames!$B$63</t>
  </si>
  <si>
    <t>=tk_RangeNames!$B$69</t>
  </si>
  <si>
    <t>ProjectName</t>
  </si>
  <si>
    <t>Total_GC</t>
  </si>
  <si>
    <t>Total_LaborCost</t>
  </si>
  <si>
    <t>Total_LaborSell</t>
  </si>
  <si>
    <t>=tk_RangeNames!$B$24</t>
  </si>
  <si>
    <t>Total_LaborSell2</t>
  </si>
  <si>
    <t>Total_MaterialCost</t>
  </si>
  <si>
    <t>Total_MaterialSell</t>
  </si>
  <si>
    <t>Total_MaterialSell2</t>
  </si>
  <si>
    <t>=tk_RangeNames!$B$23</t>
  </si>
  <si>
    <t>Total_SimpleSell</t>
  </si>
  <si>
    <t>Total_Tax1Rate</t>
  </si>
  <si>
    <t>=tk_RangeNames!$B$8</t>
  </si>
  <si>
    <t>Date</t>
  </si>
  <si>
    <t>Sell</t>
  </si>
  <si>
    <t>erwuyuwer</t>
  </si>
  <si>
    <t>Rate Table</t>
  </si>
  <si>
    <t>Tax</t>
  </si>
  <si>
    <t>Mfg Material</t>
  </si>
  <si>
    <t>Buyout Material</t>
  </si>
  <si>
    <t>Mfg Labor</t>
  </si>
  <si>
    <t>Site Labor</t>
  </si>
  <si>
    <t>Sub Contract</t>
  </si>
  <si>
    <t>Tax1 Rate</t>
  </si>
  <si>
    <t>2nd Floor</t>
  </si>
  <si>
    <t>LineID</t>
  </si>
  <si>
    <t>Qty</t>
  </si>
  <si>
    <t>Item</t>
  </si>
  <si>
    <t>Dimension</t>
  </si>
  <si>
    <t>Specification</t>
  </si>
  <si>
    <t>Comments</t>
  </si>
  <si>
    <t>Revision</t>
  </si>
  <si>
    <t>Phase</t>
  </si>
  <si>
    <t>Weight</t>
  </si>
  <si>
    <t>Mfg_Material</t>
  </si>
  <si>
    <t>Mfg_Labor</t>
  </si>
  <si>
    <t>Qty_1</t>
  </si>
  <si>
    <t>Buyout_Material</t>
  </si>
  <si>
    <t>Site_Labor</t>
  </si>
  <si>
    <t>Qty_2</t>
  </si>
  <si>
    <t>SubTOTAL</t>
  </si>
  <si>
    <t>Gen Cond.</t>
  </si>
  <si>
    <t>TOTALPrice</t>
  </si>
  <si>
    <t>Crown</t>
  </si>
  <si>
    <t>- x - x -</t>
  </si>
  <si>
    <t>Default(C)/Default(F)/Default(H)</t>
  </si>
  <si>
    <t>Original: 12/6/2014</t>
  </si>
  <si>
    <t>Phase 2: 1/31/2013</t>
  </si>
  <si>
    <t>2nd Floor\Office 1</t>
  </si>
  <si>
    <t>B303</t>
  </si>
  <si>
    <t>18 x 30 x 24</t>
  </si>
  <si>
    <t>Cab-Birch/Cab-Birch/Default(H)</t>
  </si>
  <si>
    <t>Phase 1: 1/27/2015</t>
  </si>
  <si>
    <t>B302</t>
  </si>
  <si>
    <t>30 x 30 x 18</t>
  </si>
  <si>
    <t>False front</t>
  </si>
  <si>
    <t>24 x 72 x -</t>
  </si>
  <si>
    <t>Modesty panel</t>
  </si>
  <si>
    <t>T110</t>
  </si>
  <si>
    <t>30 x - x 74</t>
  </si>
  <si>
    <t>2nd Floor\Office 2</t>
  </si>
  <si>
    <t>2nd Floor\Reception</t>
  </si>
  <si>
    <t>Wall 1</t>
  </si>
  <si>
    <t>120 x 42 x 6</t>
  </si>
  <si>
    <t>Wall to reception</t>
  </si>
  <si>
    <t>Phase 3: 2/6/2015</t>
  </si>
  <si>
    <t>18 x 42 x 24</t>
  </si>
  <si>
    <t>Cab-Birch/Cab-Beech/Default(H)</t>
  </si>
  <si>
    <t>C822</t>
  </si>
  <si>
    <t>122 x 12 x 32</t>
  </si>
  <si>
    <t>Chairs</t>
  </si>
  <si>
    <t>Frame 4 inch</t>
  </si>
  <si>
    <t>42 x 96 x -</t>
  </si>
  <si>
    <t>Entry frames to Offices</t>
  </si>
  <si>
    <t>CCO 1: 12/22/2014</t>
  </si>
  <si>
    <t>2nd Floor\Staff Room</t>
  </si>
  <si>
    <t>Filler base</t>
  </si>
  <si>
    <t>2 x 36 x 4</t>
  </si>
  <si>
    <t>Cab-WhtMel/Cab-Plam/Default(H)</t>
  </si>
  <si>
    <t>B224</t>
  </si>
  <si>
    <t>30 x 36 x 24</t>
  </si>
  <si>
    <t>B244</t>
  </si>
  <si>
    <t>40 x 36 x 24</t>
  </si>
  <si>
    <t>T115</t>
  </si>
  <si>
    <t>74 x 6 x 24</t>
  </si>
  <si>
    <t>Filler wall</t>
  </si>
  <si>
    <t>2 x 24 x 12</t>
  </si>
  <si>
    <t>W210</t>
  </si>
  <si>
    <t>36 x 24 x 12</t>
  </si>
  <si>
    <t>Material/Labor totals</t>
  </si>
  <si>
    <t>Smith Bros. Distribution</t>
  </si>
  <si>
    <t>Chrome fittings to reception</t>
  </si>
  <si>
    <t>Phase 1</t>
  </si>
  <si>
    <t>Shipping</t>
  </si>
  <si>
    <t>GRAND TOTAL</t>
  </si>
  <si>
    <t>Material+Labor</t>
  </si>
  <si>
    <t>Phase_1 - Casework and tops TOTAL</t>
  </si>
  <si>
    <t>Phase_2 - Finish Carpentry TOTAL</t>
  </si>
  <si>
    <t>Phase_3 - Custom TOTAL</t>
  </si>
  <si>
    <t>CCO_1 - Add frames to Reception TOTAL</t>
  </si>
  <si>
    <t>Original - Original Quote TOTAL</t>
  </si>
  <si>
    <t>Mfg:Edging</t>
  </si>
  <si>
    <t>NETQty</t>
  </si>
  <si>
    <t>Uom</t>
  </si>
  <si>
    <t>Material</t>
  </si>
  <si>
    <t>Cost</t>
  </si>
  <si>
    <t>Total</t>
  </si>
  <si>
    <t>Waste %Inc</t>
  </si>
  <si>
    <t>PVC</t>
  </si>
  <si>
    <t>Linft.</t>
  </si>
  <si>
    <t>1-5/16 x .018 PVC White</t>
  </si>
  <si>
    <t>15/16 x .018 PVC Birch</t>
  </si>
  <si>
    <t>15/16 x .018 PVC White</t>
  </si>
  <si>
    <t>15/16 x 1/8 PVC Birch</t>
  </si>
  <si>
    <t>15/16 x 1/8 PVC1</t>
  </si>
  <si>
    <t>Wood</t>
  </si>
  <si>
    <t>1/2 x1-1/2mm Solid Birch</t>
  </si>
  <si>
    <t>Subtotal: Mfg:Edging</t>
  </si>
  <si>
    <t>Mfg:Hardware</t>
  </si>
  <si>
    <t>Fasteners</t>
  </si>
  <si>
    <t>Each</t>
  </si>
  <si>
    <t>8mm Beech Dowell</t>
  </si>
  <si>
    <t>Hinges</t>
  </si>
  <si>
    <t>Blum 125 deg clip on</t>
  </si>
  <si>
    <t>Blum mounting plate clip on</t>
  </si>
  <si>
    <t>Locks</t>
  </si>
  <si>
    <t>Kenstin cabinet lock</t>
  </si>
  <si>
    <t>Miscellaneous</t>
  </si>
  <si>
    <t>Wire grommet 2-1/2</t>
  </si>
  <si>
    <t>Pulls</t>
  </si>
  <si>
    <t>Chrome 4 inch wire D pull</t>
  </si>
  <si>
    <t>Shelf Fittings</t>
  </si>
  <si>
    <t>Plastic shelf clips</t>
  </si>
  <si>
    <t>Slides</t>
  </si>
  <si>
    <t>Blum Meta filer</t>
  </si>
  <si>
    <t>Pair</t>
  </si>
  <si>
    <t>Blum bs230 20</t>
  </si>
  <si>
    <t>Subtotal: Mfg:Hardware</t>
  </si>
  <si>
    <t>Mfg:Lumber</t>
  </si>
  <si>
    <t>Jamb</t>
  </si>
  <si>
    <t>Jamb 2x4 birch</t>
  </si>
  <si>
    <t>Subtotal: Mfg:Lumber</t>
  </si>
  <si>
    <t>Mfg:Mouldings</t>
  </si>
  <si>
    <t>Casings</t>
  </si>
  <si>
    <t>Casing birch</t>
  </si>
  <si>
    <t>Crown 1x4 birch</t>
  </si>
  <si>
    <t>Subtotal: Mfg:Mouldings</t>
  </si>
  <si>
    <t>Mfg:Sheet Goods</t>
  </si>
  <si>
    <t>Layup</t>
  </si>
  <si>
    <t>Sqft.</t>
  </si>
  <si>
    <t>PL1 3/4MDF Liner</t>
  </si>
  <si>
    <t>Melamine</t>
  </si>
  <si>
    <t>1-0 Wht Melamine G2S</t>
  </si>
  <si>
    <t>1/2 Wht Melamine G1S</t>
  </si>
  <si>
    <t>3/4 Wht Melamine G1S</t>
  </si>
  <si>
    <t>3/4 Wht Melamine G2S</t>
  </si>
  <si>
    <t>Plastic Laminate</t>
  </si>
  <si>
    <t>Brown backer</t>
  </si>
  <si>
    <t>PL1 GP</t>
  </si>
  <si>
    <t>White Liner</t>
  </si>
  <si>
    <t>Plywood</t>
  </si>
  <si>
    <t>1/2 Baltic beech</t>
  </si>
  <si>
    <t>1/2 Birch G1S</t>
  </si>
  <si>
    <t>3/4 Birch G1S</t>
  </si>
  <si>
    <t>3/4 Birch G2S (Door grade)</t>
  </si>
  <si>
    <t>3/4 Sheathing</t>
  </si>
  <si>
    <t>Subtotal: Mfg:Sheet Goods</t>
  </si>
  <si>
    <t>Buyout:Buyout</t>
  </si>
  <si>
    <t>Furniture</t>
  </si>
  <si>
    <t>Chairs Red</t>
  </si>
  <si>
    <t>Subtotal: Buyout:Buyout</t>
  </si>
  <si>
    <t>TOTAL MATERIAL</t>
  </si>
  <si>
    <t>Blended Markup</t>
  </si>
  <si>
    <t>Mfg:Manufacturing</t>
  </si>
  <si>
    <t>Labor</t>
  </si>
  <si>
    <t>Cabinet fab.</t>
  </si>
  <si>
    <t>Hours</t>
  </si>
  <si>
    <t>Assemble case</t>
  </si>
  <si>
    <t>Assemble drawer</t>
  </si>
  <si>
    <t>Attach hardware</t>
  </si>
  <si>
    <t>Edge band</t>
  </si>
  <si>
    <t>End bore</t>
  </si>
  <si>
    <t>Line bore</t>
  </si>
  <si>
    <t>Panel saw</t>
  </si>
  <si>
    <t>Counter fab.</t>
  </si>
  <si>
    <t>Assemble top</t>
  </si>
  <si>
    <t>Cutout</t>
  </si>
  <si>
    <t>Panel layup</t>
  </si>
  <si>
    <t>Millwork fab.</t>
  </si>
  <si>
    <t>Assemble Millwork</t>
  </si>
  <si>
    <t>Chop saw</t>
  </si>
  <si>
    <t>Router</t>
  </si>
  <si>
    <t>Handling parts</t>
  </si>
  <si>
    <t>Subtotal: Mfg:Manufacturing</t>
  </si>
  <si>
    <t>Site:Site</t>
  </si>
  <si>
    <t>Cabinet</t>
  </si>
  <si>
    <t>Install cabinet</t>
  </si>
  <si>
    <t>Install filler</t>
  </si>
  <si>
    <t>Counter</t>
  </si>
  <si>
    <t>Install counter</t>
  </si>
  <si>
    <t>Sink cutout</t>
  </si>
  <si>
    <t>Custom</t>
  </si>
  <si>
    <t>Install custom</t>
  </si>
  <si>
    <t>Finish Carpentry</t>
  </si>
  <si>
    <t>Install moulding</t>
  </si>
  <si>
    <t>Subtotal: Site:Site</t>
  </si>
  <si>
    <t>TOTAL LABOR</t>
  </si>
  <si>
    <t>Phase 1 - Casework and tops: January 27, 2015</t>
  </si>
  <si>
    <t xml:space="preserve">    Materials</t>
  </si>
  <si>
    <t>Quantity</t>
  </si>
  <si>
    <t>UOM</t>
  </si>
  <si>
    <t xml:space="preserve">    PVC</t>
  </si>
  <si>
    <t xml:space="preserve">    Fasteners</t>
  </si>
  <si>
    <t xml:space="preserve">    Hinges</t>
  </si>
  <si>
    <t xml:space="preserve">    Locks</t>
  </si>
  <si>
    <t xml:space="preserve">    Pulls</t>
  </si>
  <si>
    <t xml:space="preserve">    Shelf Fittings</t>
  </si>
  <si>
    <t xml:space="preserve">    Slides</t>
  </si>
  <si>
    <t xml:space="preserve">    Layup</t>
  </si>
  <si>
    <t xml:space="preserve">    Melamine</t>
  </si>
  <si>
    <t xml:space="preserve">    Plastic Laminate</t>
  </si>
  <si>
    <t xml:space="preserve">    Plywood</t>
  </si>
  <si>
    <t>SUBTOTAL</t>
  </si>
  <si>
    <t xml:space="preserve">    Labor</t>
  </si>
  <si>
    <t xml:space="preserve">    Cabinet fab.</t>
  </si>
  <si>
    <t xml:space="preserve">    Counter fab.</t>
  </si>
  <si>
    <t xml:space="preserve">    Millwork fab.</t>
  </si>
  <si>
    <t xml:space="preserve">    Miscellaneous</t>
  </si>
  <si>
    <t xml:space="preserve">    Cabinet</t>
  </si>
  <si>
    <t xml:space="preserve">    Counter</t>
  </si>
  <si>
    <t>Casework and tops TOTAL</t>
  </si>
  <si>
    <t>Phase 2 - Finish Carpentry: January 31, 2013</t>
  </si>
  <si>
    <t xml:space="preserve">    Jamb</t>
  </si>
  <si>
    <t xml:space="preserve">    Casings</t>
  </si>
  <si>
    <t xml:space="preserve">    Crown</t>
  </si>
  <si>
    <t xml:space="preserve">    Finish Carpentry</t>
  </si>
  <si>
    <t>Finish Carpentry TOTAL</t>
  </si>
  <si>
    <t>Phase 3 - Custom: February 6, 2015</t>
  </si>
  <si>
    <t xml:space="preserve">    Wood</t>
  </si>
  <si>
    <t xml:space="preserve">    Furniture</t>
  </si>
  <si>
    <t xml:space="preserve">    Custom</t>
  </si>
  <si>
    <t>Custom TOTAL</t>
  </si>
  <si>
    <t>GRAND BUDGET TOTAL</t>
  </si>
  <si>
    <t>Base\B224</t>
  </si>
  <si>
    <t>Location</t>
  </si>
  <si>
    <t>Each. Average costs</t>
  </si>
  <si>
    <t>Linft.. Average costs</t>
  </si>
  <si>
    <t>Base\B244</t>
  </si>
  <si>
    <t>Custom\C822</t>
  </si>
  <si>
    <t>Drawer\B302</t>
  </si>
  <si>
    <t>Drawer\B303</t>
  </si>
  <si>
    <t>Furniture\Chairs</t>
  </si>
  <si>
    <t>Moulding\Crown</t>
  </si>
  <si>
    <t>Self edge\T110</t>
  </si>
  <si>
    <t>Self edge\T115</t>
  </si>
  <si>
    <t>Wall\W210</t>
  </si>
  <si>
    <t>Wall\Wall 1</t>
  </si>
  <si>
    <t>Wood Door\Frame 4 inch</t>
  </si>
  <si>
    <t>_Option\False front</t>
  </si>
  <si>
    <t>_Option\Filler base</t>
  </si>
  <si>
    <t>_Option\Filler wall</t>
  </si>
  <si>
    <t>LABOR1: Mfg</t>
  </si>
  <si>
    <t>Price</t>
  </si>
  <si>
    <t>Total: LABOR1</t>
  </si>
  <si>
    <t>LABOR2: Site</t>
  </si>
  <si>
    <t>Total: LABOR2</t>
  </si>
  <si>
    <t>MATERIAL1: Mfg</t>
  </si>
  <si>
    <t>Total: MATERIAL1</t>
  </si>
  <si>
    <t>MATERIAL2: Buyout</t>
  </si>
  <si>
    <t>Total: MATERIAL2</t>
  </si>
  <si>
    <t>Mfg Material Markup</t>
  </si>
  <si>
    <t>Mfg Labor Markup</t>
  </si>
  <si>
    <t>Material Mfg</t>
  </si>
  <si>
    <t>Labor Mfg</t>
  </si>
  <si>
    <t>Labor Qty1 Mfg</t>
  </si>
  <si>
    <t>Labor Qty2 Site</t>
  </si>
  <si>
    <t>General Condition Portion</t>
  </si>
  <si>
    <t>Job</t>
  </si>
  <si>
    <t>Contractor</t>
  </si>
  <si>
    <t>Friday, December 25, 2015</t>
  </si>
  <si>
    <t>Tax adjusted</t>
  </si>
  <si>
    <t>Phase Breakouts</t>
  </si>
  <si>
    <t>=tk_RangeNames!$B$44</t>
  </si>
  <si>
    <t>Budget_FeeMU</t>
  </si>
  <si>
    <t>=tk_Budget!$B$6</t>
  </si>
  <si>
    <t>Budget_LaborMU</t>
  </si>
  <si>
    <t>=tk_Budget!$B$4</t>
  </si>
  <si>
    <t>Budget_LaborMU2</t>
  </si>
  <si>
    <t>=tk_Budget!$B$5</t>
  </si>
  <si>
    <t>Budget_MaterialMU</t>
  </si>
  <si>
    <t>=tk_Budget!$B$2</t>
  </si>
  <si>
    <t>Budget_MaterialMU2</t>
  </si>
  <si>
    <t>=tk_Budget!$B$3</t>
  </si>
  <si>
    <t>Budget_SubContractsMU</t>
  </si>
  <si>
    <t>=tk_Budget!$B$7</t>
  </si>
  <si>
    <t>Budget_Tax1Rate</t>
  </si>
  <si>
    <t>=tk_Budget!$B$8</t>
  </si>
  <si>
    <t>Budget_TaxRateBO</t>
  </si>
  <si>
    <t>=tk_Budget!$C$7</t>
  </si>
  <si>
    <t>Budget_TaxRateLabor</t>
  </si>
  <si>
    <t>=tk_Budget!$C$4</t>
  </si>
  <si>
    <t>Budget_TaxRateLabor2</t>
  </si>
  <si>
    <t>=tk_Budget!$C$5</t>
  </si>
  <si>
    <t>Budget_TaxRateMaterial</t>
  </si>
  <si>
    <t>=tk_Budget!$C$2</t>
  </si>
  <si>
    <t>Budget_TaxRateMaterial2</t>
  </si>
  <si>
    <t>=tk_Budget!$C$3</t>
  </si>
  <si>
    <t>Budget_TaxRateProfit</t>
  </si>
  <si>
    <t>=tk_Budget!$C$6</t>
  </si>
  <si>
    <t>BudgetSUM_FeeMU</t>
  </si>
  <si>
    <t>=tk_BudgetSUM!$B$6</t>
  </si>
  <si>
    <t>BudgetSUM_LaborMU</t>
  </si>
  <si>
    <t>=tk_BudgetSUM!$B$4</t>
  </si>
  <si>
    <t>BudgetSUM_LaborMU2</t>
  </si>
  <si>
    <t>=tk_BudgetSUM!$B$5</t>
  </si>
  <si>
    <t>BudgetSUM_MaterialMU</t>
  </si>
  <si>
    <t>=tk_BudgetSUM!$B$2</t>
  </si>
  <si>
    <t>BudgetSUM_MaterialMU2</t>
  </si>
  <si>
    <t>=tk_BudgetSUM!$B$3</t>
  </si>
  <si>
    <t>BudgetSUM_SubContractsMU</t>
  </si>
  <si>
    <t>=tk_BudgetSUM!$B$7</t>
  </si>
  <si>
    <t>BudgetSUM_Tax1Rate</t>
  </si>
  <si>
    <t>=tk_BudgetSUM!$B$8</t>
  </si>
  <si>
    <t>BudgetSUM_TaxRateBO</t>
  </si>
  <si>
    <t>=tk_BudgetSUM!$C$7</t>
  </si>
  <si>
    <t>BudgetSUM_TaxRateLabor</t>
  </si>
  <si>
    <t>=tk_BudgetSUM!$C$4</t>
  </si>
  <si>
    <t>BudgetSUM_TaxRateLabor2</t>
  </si>
  <si>
    <t>=tk_BudgetSUM!$C$5</t>
  </si>
  <si>
    <t>BudgetSUM_TaxRateMaterial</t>
  </si>
  <si>
    <t>=tk_BudgetSUM!$C$2</t>
  </si>
  <si>
    <t>BudgetSUM_TaxRateMaterial2</t>
  </si>
  <si>
    <t>=tk_BudgetSUM!$C$3</t>
  </si>
  <si>
    <t>BudgetSUM_TaxRateProfit</t>
  </si>
  <si>
    <t>=tk_BudgetSUM!$C$6</t>
  </si>
  <si>
    <t>Lab_FeeMU</t>
  </si>
  <si>
    <t>=tk_Labor!$B$6</t>
  </si>
  <si>
    <t>Lab_LaborMU</t>
  </si>
  <si>
    <t>=tk_Labor!$B$4</t>
  </si>
  <si>
    <t>Lab_LaborMU2</t>
  </si>
  <si>
    <t>=tk_Labor!$B$5</t>
  </si>
  <si>
    <t>Lab_MaterialMU</t>
  </si>
  <si>
    <t>=tk_Labor!$B$2</t>
  </si>
  <si>
    <t>Lab_MaterialMU2</t>
  </si>
  <si>
    <t>=tk_Labor!$B$3</t>
  </si>
  <si>
    <t>Lab_Mfg_Manufacturing_Cabinet_fab_Cost</t>
  </si>
  <si>
    <t>=tk_Labor!$F$21</t>
  </si>
  <si>
    <t>Lab_Mfg_Manufacturing_Cabinet_fab_Qty</t>
  </si>
  <si>
    <t>=tk_Labor!$C$21</t>
  </si>
  <si>
    <t>Lab_Mfg_Manufacturing_Cabinet_fab_Total</t>
  </si>
  <si>
    <t>=tk_Labor!$I$21</t>
  </si>
  <si>
    <t>Lab_Mfg_Manufacturing_Counter_fab_Cost</t>
  </si>
  <si>
    <t>=tk_Labor!$F$27</t>
  </si>
  <si>
    <t>Lab_Mfg_Manufacturing_Counter_fab_Qty</t>
  </si>
  <si>
    <t>=tk_Labor!$C$27</t>
  </si>
  <si>
    <t>Lab_Mfg_Manufacturing_Counter_fab_Total</t>
  </si>
  <si>
    <t>=tk_Labor!$I$27</t>
  </si>
  <si>
    <t>Lab_Mfg_Manufacturing_Millwork_fab_Cost</t>
  </si>
  <si>
    <t>=tk_Labor!$F$32</t>
  </si>
  <si>
    <t>Lab_Mfg_Manufacturing_Millwork_fab_Qty</t>
  </si>
  <si>
    <t>=tk_Labor!$C$32</t>
  </si>
  <si>
    <t>Lab_Mfg_Manufacturing_Millwork_fab_Total</t>
  </si>
  <si>
    <t>=tk_Labor!$I$32</t>
  </si>
  <si>
    <t>Lab_Mfg_Manufacturing_MiscellaneousCost</t>
  </si>
  <si>
    <t>=tk_Labor!$F$35</t>
  </si>
  <si>
    <t>Lab_Mfg_Manufacturing_MiscellaneousQty</t>
  </si>
  <si>
    <t>=tk_Labor!$C$35</t>
  </si>
  <si>
    <t>Lab_Mfg_Manufacturing_MiscellaneousTotal</t>
  </si>
  <si>
    <t>=tk_Labor!$I$35</t>
  </si>
  <si>
    <t>Lab_Mfg_ManufacturingCost</t>
  </si>
  <si>
    <t>=tk_Labor!$F$36</t>
  </si>
  <si>
    <t>Lab_Mfg_ManufacturingMU</t>
  </si>
  <si>
    <t>=tk_Labor!$A$11</t>
  </si>
  <si>
    <t>Lab_Mfg_ManufacturingQty</t>
  </si>
  <si>
    <t>=tk_Labor!$C$36</t>
  </si>
  <si>
    <t>Lab_Mfg_ManufacturingTotal</t>
  </si>
  <si>
    <t>=tk_Labor!$I$36</t>
  </si>
  <si>
    <t>Lab_Site_Site_CabinetCost</t>
  </si>
  <si>
    <t>=tk_Labor!$F$44</t>
  </si>
  <si>
    <t>Lab_Site_Site_CabinetQty</t>
  </si>
  <si>
    <t>=tk_Labor!$C$44</t>
  </si>
  <si>
    <t>Lab_Site_Site_CabinetTotal</t>
  </si>
  <si>
    <t>=tk_Labor!$I$44</t>
  </si>
  <si>
    <t>Lab_Site_Site_CounterCost</t>
  </si>
  <si>
    <t>=tk_Labor!$F$48</t>
  </si>
  <si>
    <t>Lab_Site_Site_CounterQty</t>
  </si>
  <si>
    <t>=tk_Labor!$C$48</t>
  </si>
  <si>
    <t>Lab_Site_Site_CounterTotal</t>
  </si>
  <si>
    <t>=tk_Labor!$I$48</t>
  </si>
  <si>
    <t>Lab_Site_Site_CustomCost</t>
  </si>
  <si>
    <t>=tk_Labor!$F$51</t>
  </si>
  <si>
    <t>Lab_Site_Site_CustomQty</t>
  </si>
  <si>
    <t>=tk_Labor!$C$51</t>
  </si>
  <si>
    <t>Lab_Site_Site_CustomTotal</t>
  </si>
  <si>
    <t>=tk_Labor!$I$51</t>
  </si>
  <si>
    <t>Lab_Site_Site_Finish_CarpentryCost</t>
  </si>
  <si>
    <t>=tk_Labor!$F$54</t>
  </si>
  <si>
    <t>Lab_Site_Site_Finish_CarpentryQty</t>
  </si>
  <si>
    <t>=tk_Labor!$C$54</t>
  </si>
  <si>
    <t>Lab_Site_Site_Finish_CarpentryTotal</t>
  </si>
  <si>
    <t>=tk_Labor!$I$54</t>
  </si>
  <si>
    <t>Lab_Site_SiteCost</t>
  </si>
  <si>
    <t>=tk_Labor!$F$55</t>
  </si>
  <si>
    <t>Lab_Site_SiteMU</t>
  </si>
  <si>
    <t>=tk_Labor!$A$39</t>
  </si>
  <si>
    <t>Lab_Site_SiteQty</t>
  </si>
  <si>
    <t>=tk_Labor!$C$55</t>
  </si>
  <si>
    <t>Lab_Site_SiteTotal</t>
  </si>
  <si>
    <t>=tk_Labor!$I$55</t>
  </si>
  <si>
    <t>Lab_SubContractsMU</t>
  </si>
  <si>
    <t>=tk_Labor!$B$7</t>
  </si>
  <si>
    <t>Lab_Tax1Rate</t>
  </si>
  <si>
    <t>=tk_Labor!$B$8</t>
  </si>
  <si>
    <t>Lab_TaxRateBO</t>
  </si>
  <si>
    <t>=tk_Labor!$C$7</t>
  </si>
  <si>
    <t>Lab_TaxRateLabor</t>
  </si>
  <si>
    <t>=tk_Labor!$C$4</t>
  </si>
  <si>
    <t>Lab_TaxRateLabor2</t>
  </si>
  <si>
    <t>=tk_Labor!$C$5</t>
  </si>
  <si>
    <t>Lab_TaxRateMaterial</t>
  </si>
  <si>
    <t>=tk_Labor!$C$2</t>
  </si>
  <si>
    <t>Lab_TaxRateMaterial2</t>
  </si>
  <si>
    <t>=tk_Labor!$C$3</t>
  </si>
  <si>
    <t>Lab_TaxRateProfit</t>
  </si>
  <si>
    <t>=tk_Labor!$C$6</t>
  </si>
  <si>
    <t>LABOR1Cost</t>
  </si>
  <si>
    <t>=tk_Recap!$F$31</t>
  </si>
  <si>
    <t>LABOR1Fee</t>
  </si>
  <si>
    <t>=tk_Recap!$H$31</t>
  </si>
  <si>
    <t>LABOR1MU</t>
  </si>
  <si>
    <t>=tk_Recap!$G$31</t>
  </si>
  <si>
    <t>LABOR1Qty</t>
  </si>
  <si>
    <t>=tk_Recap!$C$31</t>
  </si>
  <si>
    <t>LABOR1Total</t>
  </si>
  <si>
    <t>=tk_Recap!$I$31</t>
  </si>
  <si>
    <t>LABOR2Cost</t>
  </si>
  <si>
    <t>=tk_Recap!$F$45</t>
  </si>
  <si>
    <t>LABOR2Fee</t>
  </si>
  <si>
    <t>=tk_Recap!$H$45</t>
  </si>
  <si>
    <t>LABOR2MU</t>
  </si>
  <si>
    <t>=tk_Recap!$G$45</t>
  </si>
  <si>
    <t>LABOR2Qty</t>
  </si>
  <si>
    <t>=tk_Recap!$C$45</t>
  </si>
  <si>
    <t>LABOR2Total</t>
  </si>
  <si>
    <t>=tk_Recap!$I$45</t>
  </si>
  <si>
    <t>Mat_Buyout_Buyout_FurnitureCost</t>
  </si>
  <si>
    <t>=tk_Materials!$F$103</t>
  </si>
  <si>
    <t>Mat_Buyout_Buyout_FurnitureQty</t>
  </si>
  <si>
    <t>=tk_Materials!$C$103</t>
  </si>
  <si>
    <t>Mat_Buyout_Buyout_FurnitureTotal</t>
  </si>
  <si>
    <t>=tk_Materials!$I$103</t>
  </si>
  <si>
    <t>Mat_Buyout_BuyoutCost</t>
  </si>
  <si>
    <t>=tk_Materials!$F$104</t>
  </si>
  <si>
    <t>Mat_Buyout_BuyoutMU</t>
  </si>
  <si>
    <t>=tk_Materials!$A$99</t>
  </si>
  <si>
    <t>Mat_Buyout_BuyoutTotal</t>
  </si>
  <si>
    <t>=tk_Materials!$I$104</t>
  </si>
  <si>
    <t>Mat_Buyout_BuyoutWeight</t>
  </si>
  <si>
    <t>=tk_Materials!$J$104</t>
  </si>
  <si>
    <t>Mat_FeeMU</t>
  </si>
  <si>
    <t>=tk_Materials!$B$6</t>
  </si>
  <si>
    <t>Mat_LaborMU</t>
  </si>
  <si>
    <t>=tk_Materials!$B$4</t>
  </si>
  <si>
    <t>Mat_LaborMU2</t>
  </si>
  <si>
    <t>=tk_Materials!$B$5</t>
  </si>
  <si>
    <t>Mat_MaterialMU</t>
  </si>
  <si>
    <t>=tk_Materials!$B$2</t>
  </si>
  <si>
    <t>Mat_MaterialMU2</t>
  </si>
  <si>
    <t>=tk_Materials!$B$3</t>
  </si>
  <si>
    <t>Mat_Mfg_Edging_PVCCost</t>
  </si>
  <si>
    <t>=tk_Materials!$F$19</t>
  </si>
  <si>
    <t>Mat_Mfg_Edging_PVCQty</t>
  </si>
  <si>
    <t>=tk_Materials!$C$19</t>
  </si>
  <si>
    <t>Mat_Mfg_Edging_PVCTotal</t>
  </si>
  <si>
    <t>=tk_Materials!$I$19</t>
  </si>
  <si>
    <t>Mat_Mfg_Edging_WoodCost</t>
  </si>
  <si>
    <t>=tk_Materials!$F$22</t>
  </si>
  <si>
    <t>Mat_Mfg_Edging_WoodQty</t>
  </si>
  <si>
    <t>=tk_Materials!$C$22</t>
  </si>
  <si>
    <t>Mat_Mfg_Edging_WoodTotal</t>
  </si>
  <si>
    <t>=tk_Materials!$I$22</t>
  </si>
  <si>
    <t>Mat_Mfg_EdgingCost</t>
  </si>
  <si>
    <t>=tk_Materials!$F$23</t>
  </si>
  <si>
    <t>Mat_Mfg_EdgingMU</t>
  </si>
  <si>
    <t>=tk_Materials!$A$11</t>
  </si>
  <si>
    <t>Mat_Mfg_EdgingTotal</t>
  </si>
  <si>
    <t>=tk_Materials!$I$23</t>
  </si>
  <si>
    <t>Mat_Mfg_EdgingWeight</t>
  </si>
  <si>
    <t>=tk_Materials!$J$23</t>
  </si>
  <si>
    <t>Mat_Mfg_Hardware_FastenersCost</t>
  </si>
  <si>
    <t>=tk_Materials!$F$30</t>
  </si>
  <si>
    <t>Mat_Mfg_Hardware_FastenersQty</t>
  </si>
  <si>
    <t>=tk_Materials!$C$30</t>
  </si>
  <si>
    <t>Mat_Mfg_Hardware_FastenersTotal</t>
  </si>
  <si>
    <t>=tk_Materials!$I$30</t>
  </si>
  <si>
    <t>Mat_Mfg_Hardware_HingesCost</t>
  </si>
  <si>
    <t>=tk_Materials!$F$34</t>
  </si>
  <si>
    <t>Mat_Mfg_Hardware_HingesQty</t>
  </si>
  <si>
    <t>=tk_Materials!$C$34</t>
  </si>
  <si>
    <t>Mat_Mfg_Hardware_HingesTotal</t>
  </si>
  <si>
    <t>=tk_Materials!$I$34</t>
  </si>
  <si>
    <t>Mat_Mfg_Hardware_LocksCost</t>
  </si>
  <si>
    <t>=tk_Materials!$F$37</t>
  </si>
  <si>
    <t>Mat_Mfg_Hardware_LocksQty</t>
  </si>
  <si>
    <t>=tk_Materials!$C$37</t>
  </si>
  <si>
    <t>Mat_Mfg_Hardware_LocksTotal</t>
  </si>
  <si>
    <t>=tk_Materials!$I$37</t>
  </si>
  <si>
    <t>Mat_Mfg_Hardware_MiscellaneousCost</t>
  </si>
  <si>
    <t>=tk_Materials!$F$40</t>
  </si>
  <si>
    <t>Mat_Mfg_Hardware_MiscellaneousQty</t>
  </si>
  <si>
    <t>=tk_Materials!$C$40</t>
  </si>
  <si>
    <t>Mat_Mfg_Hardware_MiscellaneousTotal</t>
  </si>
  <si>
    <t>=tk_Materials!$I$40</t>
  </si>
  <si>
    <t>Mat_Mfg_Hardware_PullsCost</t>
  </si>
  <si>
    <t>=tk_Materials!$F$43</t>
  </si>
  <si>
    <t>Mat_Mfg_Hardware_PullsQty</t>
  </si>
  <si>
    <t>=tk_Materials!$C$43</t>
  </si>
  <si>
    <t>Mat_Mfg_Hardware_PullsTotal</t>
  </si>
  <si>
    <t>=tk_Materials!$I$43</t>
  </si>
  <si>
    <t>Mat_Mfg_Hardware_Shelf_FittingsCost</t>
  </si>
  <si>
    <t>=tk_Materials!$F$46</t>
  </si>
  <si>
    <t>Mat_Mfg_Hardware_Shelf_FittingsQty</t>
  </si>
  <si>
    <t>=tk_Materials!$C$46</t>
  </si>
  <si>
    <t>Mat_Mfg_Hardware_Shelf_FittingsTotal</t>
  </si>
  <si>
    <t>=tk_Materials!$I$46</t>
  </si>
  <si>
    <t>Mat_Mfg_Hardware_SlidesCost</t>
  </si>
  <si>
    <t>=tk_Materials!$F$50</t>
  </si>
  <si>
    <t>Mat_Mfg_Hardware_SlidesQty</t>
  </si>
  <si>
    <t>=tk_Materials!$C$50</t>
  </si>
  <si>
    <t>Mat_Mfg_Hardware_SlidesTotal</t>
  </si>
  <si>
    <t>=tk_Materials!$I$50</t>
  </si>
  <si>
    <t>Mat_Mfg_HardwareCost</t>
  </si>
  <si>
    <t>=tk_Materials!$F$51</t>
  </si>
  <si>
    <t>Mat_Mfg_HardwareMU</t>
  </si>
  <si>
    <t>=tk_Materials!$A$26</t>
  </si>
  <si>
    <t>Mat_Mfg_HardwareTotal</t>
  </si>
  <si>
    <t>=tk_Materials!$I$51</t>
  </si>
  <si>
    <t>Mat_Mfg_HardwareWeight</t>
  </si>
  <si>
    <t>=tk_Materials!$J$51</t>
  </si>
  <si>
    <t>Mat_Mfg_Lumber_JambCost</t>
  </si>
  <si>
    <t>=tk_Materials!$F$58</t>
  </si>
  <si>
    <t>Mat_Mfg_Lumber_JambQty</t>
  </si>
  <si>
    <t>=tk_Materials!$C$58</t>
  </si>
  <si>
    <t>Mat_Mfg_Lumber_JambTotal</t>
  </si>
  <si>
    <t>=tk_Materials!$I$58</t>
  </si>
  <si>
    <t>Mat_Mfg_LumberCost</t>
  </si>
  <si>
    <t>=tk_Materials!$F$59</t>
  </si>
  <si>
    <t>Mat_Mfg_LumberMU</t>
  </si>
  <si>
    <t>=tk_Materials!$A$54</t>
  </si>
  <si>
    <t>Mat_Mfg_LumberTotal</t>
  </si>
  <si>
    <t>=tk_Materials!$I$59</t>
  </si>
  <si>
    <t>Mat_Mfg_LumberWeight</t>
  </si>
  <si>
    <t>=tk_Materials!$J$59</t>
  </si>
  <si>
    <t>Mat_Mfg_Mouldings_CasingsCost</t>
  </si>
  <si>
    <t>=tk_Materials!$F$66</t>
  </si>
  <si>
    <t>Mat_Mfg_Mouldings_CasingsQty</t>
  </si>
  <si>
    <t>=tk_Materials!$C$66</t>
  </si>
  <si>
    <t>Mat_Mfg_Mouldings_CasingsTotal</t>
  </si>
  <si>
    <t>=tk_Materials!$I$66</t>
  </si>
  <si>
    <t>Mat_Mfg_Mouldings_CrownCost</t>
  </si>
  <si>
    <t>=tk_Materials!$F$69</t>
  </si>
  <si>
    <t>Mat_Mfg_Mouldings_CrownQty</t>
  </si>
  <si>
    <t>=tk_Materials!$C$69</t>
  </si>
  <si>
    <t>Mat_Mfg_Mouldings_CrownTotal</t>
  </si>
  <si>
    <t>=tk_Materials!$I$69</t>
  </si>
  <si>
    <t>Mat_Mfg_MouldingsCost</t>
  </si>
  <si>
    <t>=tk_Materials!$F$70</t>
  </si>
  <si>
    <t>Mat_Mfg_MouldingsMU</t>
  </si>
  <si>
    <t>=tk_Materials!$A$62</t>
  </si>
  <si>
    <t>Mat_Mfg_MouldingsTotal</t>
  </si>
  <si>
    <t>=tk_Materials!$I$70</t>
  </si>
  <si>
    <t>Mat_Mfg_MouldingsWeight</t>
  </si>
  <si>
    <t>=tk_Materials!$J$70</t>
  </si>
  <si>
    <t>Mat_Mfg_Sheet_Goods_LayupCost</t>
  </si>
  <si>
    <t>=tk_Materials!$F$77</t>
  </si>
  <si>
    <t>Mat_Mfg_Sheet_Goods_LayupQty</t>
  </si>
  <si>
    <t>=tk_Materials!$C$77</t>
  </si>
  <si>
    <t>Mat_Mfg_Sheet_Goods_LayupTotal</t>
  </si>
  <si>
    <t>=tk_Materials!$I$77</t>
  </si>
  <si>
    <t>Mat_Mfg_Sheet_Goods_MelamineCost</t>
  </si>
  <si>
    <t>=tk_Materials!$F$83</t>
  </si>
  <si>
    <t>Mat_Mfg_Sheet_Goods_MelamineQty</t>
  </si>
  <si>
    <t>=tk_Materials!$C$83</t>
  </si>
  <si>
    <t>Mat_Mfg_Sheet_Goods_MelamineTotal</t>
  </si>
  <si>
    <t>=tk_Materials!$I$83</t>
  </si>
  <si>
    <t>Mat_Mfg_Sheet_Goods_Plastic_LaminateCost</t>
  </si>
  <si>
    <t>=tk_Materials!$F$88</t>
  </si>
  <si>
    <t>Mat_Mfg_Sheet_Goods_Plastic_LaminateQty</t>
  </si>
  <si>
    <t>=tk_Materials!$C$88</t>
  </si>
  <si>
    <t>Mat_Mfg_Sheet_Goods_Plastic_LaminateTotal</t>
  </si>
  <si>
    <t>=tk_Materials!$I$88</t>
  </si>
  <si>
    <t>Mat_Mfg_Sheet_Goods_PlywoodCost</t>
  </si>
  <si>
    <t>=tk_Materials!$F$95</t>
  </si>
  <si>
    <t>Mat_Mfg_Sheet_Goods_PlywoodQty</t>
  </si>
  <si>
    <t>=tk_Materials!$C$95</t>
  </si>
  <si>
    <t>Mat_Mfg_Sheet_Goods_PlywoodTotal</t>
  </si>
  <si>
    <t>=tk_Materials!$I$95</t>
  </si>
  <si>
    <t>Mat_Mfg_Sheet_GoodsCost</t>
  </si>
  <si>
    <t>=tk_Materials!$F$96</t>
  </si>
  <si>
    <t>Mat_Mfg_Sheet_GoodsMU</t>
  </si>
  <si>
    <t>=tk_Materials!$A$73</t>
  </si>
  <si>
    <t>Mat_Mfg_Sheet_GoodsTotal</t>
  </si>
  <si>
    <t>=tk_Materials!$I$96</t>
  </si>
  <si>
    <t>Mat_Mfg_Sheet_GoodsWeight</t>
  </si>
  <si>
    <t>=tk_Materials!$J$96</t>
  </si>
  <si>
    <t>Mat_SubContractsMU</t>
  </si>
  <si>
    <t>=tk_Materials!$B$7</t>
  </si>
  <si>
    <t>Mat_Tax1Rate</t>
  </si>
  <si>
    <t>=tk_Materials!$B$8</t>
  </si>
  <si>
    <t>Mat_TaxRateBO</t>
  </si>
  <si>
    <t>=tk_Materials!$C$7</t>
  </si>
  <si>
    <t>Mat_TaxRateLabor</t>
  </si>
  <si>
    <t>=tk_Materials!$C$4</t>
  </si>
  <si>
    <t>Mat_TaxRateLabor2</t>
  </si>
  <si>
    <t>=tk_Materials!$C$5</t>
  </si>
  <si>
    <t>Mat_TaxRateMaterial</t>
  </si>
  <si>
    <t>=tk_Materials!$C$2</t>
  </si>
  <si>
    <t>Mat_TaxRateMaterial2</t>
  </si>
  <si>
    <t>=tk_Materials!$C$3</t>
  </si>
  <si>
    <t>Mat_TaxRateProfit</t>
  </si>
  <si>
    <t>=tk_Materials!$C$6</t>
  </si>
  <si>
    <t>MATERIAL1Cost</t>
  </si>
  <si>
    <t>=tk_Recap!$F$97</t>
  </si>
  <si>
    <t>MATERIAL1Fee</t>
  </si>
  <si>
    <t>=tk_Recap!$H$97</t>
  </si>
  <si>
    <t>MATERIAL1MU</t>
  </si>
  <si>
    <t>=tk_Recap!$G$97</t>
  </si>
  <si>
    <t>MATERIAL1Qty</t>
  </si>
  <si>
    <t>=tk_Recap!$C$97</t>
  </si>
  <si>
    <t>MATERIAL1Total</t>
  </si>
  <si>
    <t>=tk_Recap!$I$97</t>
  </si>
  <si>
    <t>MATERIAL2Cost</t>
  </si>
  <si>
    <t>=tk_Recap!$F$103</t>
  </si>
  <si>
    <t>MATERIAL2Fee</t>
  </si>
  <si>
    <t>=tk_Recap!$H$103</t>
  </si>
  <si>
    <t>MATERIAL2MU</t>
  </si>
  <si>
    <t>=tk_Recap!$G$103</t>
  </si>
  <si>
    <t>MATERIAL2Qty</t>
  </si>
  <si>
    <t>=tk_Recap!$C$103</t>
  </si>
  <si>
    <t>MATERIAL2Total</t>
  </si>
  <si>
    <t>=tk_Recap!$I$103</t>
  </si>
  <si>
    <t>PH_Phase_1_FeeMU</t>
  </si>
  <si>
    <t>=tk_Phase_1!$B$6</t>
  </si>
  <si>
    <t>PH_Phase_1_LaborMU</t>
  </si>
  <si>
    <t>=tk_Phase_1!$B$4</t>
  </si>
  <si>
    <t>PH_Phase_1_LaborMU2</t>
  </si>
  <si>
    <t>=tk_Phase_1!$B$5</t>
  </si>
  <si>
    <t>=tk_RangeNames!$B$54</t>
  </si>
  <si>
    <t>PH_Phase_1_MaterialMU</t>
  </si>
  <si>
    <t>=tk_Phase_1!$B$2</t>
  </si>
  <si>
    <t>PH_Phase_1_MaterialMU2</t>
  </si>
  <si>
    <t>=tk_Phase_1!$B$3</t>
  </si>
  <si>
    <t>PH_Phase_1_SubContractsMU</t>
  </si>
  <si>
    <t>=tk_Phase_1!$B$7</t>
  </si>
  <si>
    <t>PH_Phase_1_Tax1Rate</t>
  </si>
  <si>
    <t>=tk_Phase_1!$B$8</t>
  </si>
  <si>
    <t>PH_Phase_1_TaxRateBO</t>
  </si>
  <si>
    <t>=tk_Phase_1!$C$7</t>
  </si>
  <si>
    <t>PH_Phase_1_TaxRateLabor</t>
  </si>
  <si>
    <t>=tk_Phase_1!$C$4</t>
  </si>
  <si>
    <t>PH_Phase_1_TaxRateLabor2</t>
  </si>
  <si>
    <t>=tk_Phase_1!$C$5</t>
  </si>
  <si>
    <t>PH_Phase_1_TaxRateMaterial</t>
  </si>
  <si>
    <t>=tk_Phase_1!$C$2</t>
  </si>
  <si>
    <t>PH_Phase_1_TaxRateMaterial2</t>
  </si>
  <si>
    <t>=tk_Phase_1!$C$3</t>
  </si>
  <si>
    <t>PH_Phase_1_TaxRateProfit</t>
  </si>
  <si>
    <t>=tk_Phase_1!$C$6</t>
  </si>
  <si>
    <t>PH_Phase_2_FeeMU</t>
  </si>
  <si>
    <t>=tk_Phase_2!$B$6</t>
  </si>
  <si>
    <t>PH_Phase_2_LaborMU</t>
  </si>
  <si>
    <t>=tk_Phase_2!$B$4</t>
  </si>
  <si>
    <t>PH_Phase_2_LaborMU2</t>
  </si>
  <si>
    <t>=tk_Phase_2!$B$5</t>
  </si>
  <si>
    <t>=tk_RangeNames!$B$62</t>
  </si>
  <si>
    <t>PH_Phase_2_MaterialMU</t>
  </si>
  <si>
    <t>=tk_Phase_2!$B$2</t>
  </si>
  <si>
    <t>PH_Phase_2_MaterialMU2</t>
  </si>
  <si>
    <t>=tk_Phase_2!$B$3</t>
  </si>
  <si>
    <t>PH_Phase_2_SubContractsMU</t>
  </si>
  <si>
    <t>=tk_Phase_2!$B$7</t>
  </si>
  <si>
    <t>PH_Phase_2_Tax1Rate</t>
  </si>
  <si>
    <t>=tk_Phase_2!$B$8</t>
  </si>
  <si>
    <t>PH_Phase_2_TaxRateBO</t>
  </si>
  <si>
    <t>=tk_Phase_2!$C$7</t>
  </si>
  <si>
    <t>PH_Phase_2_TaxRateLabor</t>
  </si>
  <si>
    <t>=tk_Phase_2!$C$4</t>
  </si>
  <si>
    <t>PH_Phase_2_TaxRateLabor2</t>
  </si>
  <si>
    <t>=tk_Phase_2!$C$5</t>
  </si>
  <si>
    <t>PH_Phase_2_TaxRateMaterial</t>
  </si>
  <si>
    <t>=tk_Phase_2!$C$2</t>
  </si>
  <si>
    <t>PH_Phase_2_TaxRateMaterial2</t>
  </si>
  <si>
    <t>=tk_Phase_2!$C$3</t>
  </si>
  <si>
    <t>PH_Phase_2_TaxRateProfit</t>
  </si>
  <si>
    <t>=tk_Phase_2!$C$6</t>
  </si>
  <si>
    <t>PH_Phase_3_FeeMU</t>
  </si>
  <si>
    <t>=tk_Phase_3!$B$6</t>
  </si>
  <si>
    <t>PH_Phase_3_LaborMU</t>
  </si>
  <si>
    <t>=tk_Phase_3!$B$4</t>
  </si>
  <si>
    <t>PH_Phase_3_LaborMU2</t>
  </si>
  <si>
    <t>=tk_Phase_3!$B$5</t>
  </si>
  <si>
    <t>=tk_RangeNames!$B$70</t>
  </si>
  <si>
    <t>PH_Phase_3_MaterialMU</t>
  </si>
  <si>
    <t>=tk_Phase_3!$B$2</t>
  </si>
  <si>
    <t>PH_Phase_3_MaterialMU2</t>
  </si>
  <si>
    <t>=tk_Phase_3!$B$3</t>
  </si>
  <si>
    <t>=tk_RangeNames!$B$71</t>
  </si>
  <si>
    <t>PH_Phase_3_SubContractsMU</t>
  </si>
  <si>
    <t>=tk_Phase_3!$B$7</t>
  </si>
  <si>
    <t>PH_Phase_3_Tax1Rate</t>
  </si>
  <si>
    <t>=tk_Phase_3!$B$8</t>
  </si>
  <si>
    <t>PH_Phase_3_TaxRateBO</t>
  </si>
  <si>
    <t>=tk_Phase_3!$C$7</t>
  </si>
  <si>
    <t>PH_Phase_3_TaxRateLabor</t>
  </si>
  <si>
    <t>=tk_Phase_3!$C$4</t>
  </si>
  <si>
    <t>PH_Phase_3_TaxRateLabor2</t>
  </si>
  <si>
    <t>=tk_Phase_3!$C$5</t>
  </si>
  <si>
    <t>PH_Phase_3_TaxRateMaterial</t>
  </si>
  <si>
    <t>=tk_Phase_3!$C$2</t>
  </si>
  <si>
    <t>PH_Phase_3_TaxRateMaterial2</t>
  </si>
  <si>
    <t>=tk_Phase_3!$C$3</t>
  </si>
  <si>
    <t>PH_Phase_3_TaxRateProfit</t>
  </si>
  <si>
    <t>=tk_Phase_3!$C$6</t>
  </si>
  <si>
    <t>Portion_GC</t>
  </si>
  <si>
    <t>=tk_RangeNames!$B$20</t>
  </si>
  <si>
    <t>Prod_FeeMU</t>
  </si>
  <si>
    <t>=tk_Products!$B$6</t>
  </si>
  <si>
    <t>Prod_LaborMU</t>
  </si>
  <si>
    <t>=tk_Products!$B$4</t>
  </si>
  <si>
    <t>Prod_LaborMU2</t>
  </si>
  <si>
    <t>=tk_Products!$B$5</t>
  </si>
  <si>
    <t>Prod_MaterialMU</t>
  </si>
  <si>
    <t>=tk_Products!$B$2</t>
  </si>
  <si>
    <t>Prod_MaterialMU2</t>
  </si>
  <si>
    <t>=tk_Products!$B$3</t>
  </si>
  <si>
    <t>Prod_SubContractsMU</t>
  </si>
  <si>
    <t>=tk_Products!$B$7</t>
  </si>
  <si>
    <t>Prod_Tax1Rate</t>
  </si>
  <si>
    <t>=tk_Products!$B$8</t>
  </si>
  <si>
    <t>Prod_TaxRateBO</t>
  </si>
  <si>
    <t>=tk_Products!$C$7</t>
  </si>
  <si>
    <t>Prod_TaxRateLabor</t>
  </si>
  <si>
    <t>=tk_Products!$C$4</t>
  </si>
  <si>
    <t>Prod_TaxRateLabor2</t>
  </si>
  <si>
    <t>=tk_Products!$C$5</t>
  </si>
  <si>
    <t>Prod_TaxRateMaterial</t>
  </si>
  <si>
    <t>=tk_Products!$C$2</t>
  </si>
  <si>
    <t>Prod_TaxRateMaterial2</t>
  </si>
  <si>
    <t>=tk_Products!$C$3</t>
  </si>
  <si>
    <t>Prod_TaxRateProfit</t>
  </si>
  <si>
    <t>=tk_Products!$C$6</t>
  </si>
  <si>
    <t>Recap_FeeMU</t>
  </si>
  <si>
    <t>=tk_Recap!$B$6</t>
  </si>
  <si>
    <t>Recap_LaborMU</t>
  </si>
  <si>
    <t>=tk_Recap!$B$4</t>
  </si>
  <si>
    <t>Recap_LaborMU2</t>
  </si>
  <si>
    <t>=tk_Recap!$B$5</t>
  </si>
  <si>
    <t>Recap_MaterialMU</t>
  </si>
  <si>
    <t>=tk_Recap!$B$2</t>
  </si>
  <si>
    <t>Recap_MaterialMU2</t>
  </si>
  <si>
    <t>=tk_Recap!$B$3</t>
  </si>
  <si>
    <t>Recap_SubContractsMU</t>
  </si>
  <si>
    <t>=tk_Recap!$B$7</t>
  </si>
  <si>
    <t>Recap_Tax1Rate</t>
  </si>
  <si>
    <t>=tk_Recap!$B$8</t>
  </si>
  <si>
    <t>Recap_TaxRateBO</t>
  </si>
  <si>
    <t>=tk_Recap!$C$7</t>
  </si>
  <si>
    <t>Recap_TaxRateLabor</t>
  </si>
  <si>
    <t>=tk_Recap!$C$4</t>
  </si>
  <si>
    <t>Recap_TaxRateLabor2</t>
  </si>
  <si>
    <t>=tk_Recap!$C$5</t>
  </si>
  <si>
    <t>Recap_TaxRateMaterial</t>
  </si>
  <si>
    <t>=tk_Recap!$C$2</t>
  </si>
  <si>
    <t>Recap_TaxRateMaterial2</t>
  </si>
  <si>
    <t>=tk_Recap!$C$3</t>
  </si>
  <si>
    <t>Recap_TaxRateProfit</t>
  </si>
  <si>
    <t>=tk_Recap!$C$6</t>
  </si>
  <si>
    <t>RV_CCO_1_FeeMU</t>
  </si>
  <si>
    <t>=tk_CCO_1!$B$6</t>
  </si>
  <si>
    <t>RV_CCO_1_LaborMU</t>
  </si>
  <si>
    <t>=tk_CCO_1!$B$4</t>
  </si>
  <si>
    <t>RV_CCO_1_LaborMU2</t>
  </si>
  <si>
    <t>=tk_CCO_1!$B$5</t>
  </si>
  <si>
    <t>RV_CCO_1_MaterialMU</t>
  </si>
  <si>
    <t>=tk_CCO_1!$B$2</t>
  </si>
  <si>
    <t>RV_CCO_1_MaterialMU2</t>
  </si>
  <si>
    <t>=tk_CCO_1!$B$3</t>
  </si>
  <si>
    <t>RV_CCO_1_SubContractsMU</t>
  </si>
  <si>
    <t>=tk_CCO_1!$B$7</t>
  </si>
  <si>
    <t>RV_CCO_1_Tax1Rate</t>
  </si>
  <si>
    <t>=tk_CCO_1!$B$8</t>
  </si>
  <si>
    <t>RV_CCO_1_TaxRateBO</t>
  </si>
  <si>
    <t>=tk_CCO_1!$C$7</t>
  </si>
  <si>
    <t>RV_CCO_1_TaxRateLabor</t>
  </si>
  <si>
    <t>=tk_CCO_1!$C$4</t>
  </si>
  <si>
    <t>RV_CCO_1_TaxRateLabor2</t>
  </si>
  <si>
    <t>=tk_CCO_1!$C$5</t>
  </si>
  <si>
    <t>RV_CCO_1_TaxRateMaterial</t>
  </si>
  <si>
    <t>=tk_CCO_1!$C$2</t>
  </si>
  <si>
    <t>RV_CCO_1_TaxRateMaterial2</t>
  </si>
  <si>
    <t>=tk_CCO_1!$C$3</t>
  </si>
  <si>
    <t>RV_CCO_1_TaxRateProfit</t>
  </si>
  <si>
    <t>=tk_CCO_1!$C$6</t>
  </si>
  <si>
    <t>RV_Original_FeeMU</t>
  </si>
  <si>
    <t>=tk_Original!$B$6</t>
  </si>
  <si>
    <t>RV_Original_LaborMU</t>
  </si>
  <si>
    <t>=tk_Original!$B$4</t>
  </si>
  <si>
    <t>RV_Original_LaborMU2</t>
  </si>
  <si>
    <t>=tk_Original!$B$5</t>
  </si>
  <si>
    <t>RV_Original_MaterialMU</t>
  </si>
  <si>
    <t>=tk_Original!$B$2</t>
  </si>
  <si>
    <t>RV_Original_MaterialMU2</t>
  </si>
  <si>
    <t>=tk_Original!$B$3</t>
  </si>
  <si>
    <t>RV_Original_SubContractsMU</t>
  </si>
  <si>
    <t>=tk_Original!$B$7</t>
  </si>
  <si>
    <t>RV_Original_Tax1Rate</t>
  </si>
  <si>
    <t>=tk_Original!$B$8</t>
  </si>
  <si>
    <t>RV_Original_TaxRateBO</t>
  </si>
  <si>
    <t>=tk_Original!$C$7</t>
  </si>
  <si>
    <t>RV_Original_TaxRateLabor</t>
  </si>
  <si>
    <t>=tk_Original!$C$4</t>
  </si>
  <si>
    <t>RV_Original_TaxRateLabor2</t>
  </si>
  <si>
    <t>=tk_Original!$C$5</t>
  </si>
  <si>
    <t>RV_Original_TaxRateMaterial</t>
  </si>
  <si>
    <t>=tk_Original!$C$2</t>
  </si>
  <si>
    <t>RV_Original_TaxRateMaterial2</t>
  </si>
  <si>
    <t>=tk_Original!$C$3</t>
  </si>
  <si>
    <t>RV_Original_TaxRateProfit</t>
  </si>
  <si>
    <t>=tk_Original!$C$6</t>
  </si>
  <si>
    <t>Tax_Amount</t>
  </si>
  <si>
    <t>=tk_RangeNames!$B$45</t>
  </si>
  <si>
    <t>TaxRateAllowance</t>
  </si>
  <si>
    <t>=tk_RangeNames!$C$18</t>
  </si>
  <si>
    <t>TaxRateBO</t>
  </si>
  <si>
    <t>=tk_RangeNames!$C$7</t>
  </si>
  <si>
    <t>TaxRateGC</t>
  </si>
  <si>
    <t>=tk_RangeNames!$C$19</t>
  </si>
  <si>
    <t>TaxRateLabor</t>
  </si>
  <si>
    <t>=tk_RangeNames!$C$4</t>
  </si>
  <si>
    <t>TaxRateLabor2</t>
  </si>
  <si>
    <t>=tk_RangeNames!$C$5</t>
  </si>
  <si>
    <t>TaxRateMaterial</t>
  </si>
  <si>
    <t>=tk_RangeNames!$C$2</t>
  </si>
  <si>
    <t>TaxRateMaterial2</t>
  </si>
  <si>
    <t>=tk_RangeNames!$C$3</t>
  </si>
  <si>
    <t>TaxRateProfit</t>
  </si>
  <si>
    <t>=tk_RangeNames!$C$6</t>
  </si>
  <si>
    <t>TK_FeeMU</t>
  </si>
  <si>
    <t>=tk_takeoff!$B$6</t>
  </si>
  <si>
    <t>TK_LaborMU</t>
  </si>
  <si>
    <t>=tk_takeoff!$B$4</t>
  </si>
  <si>
    <t>TK_LaborMU2</t>
  </si>
  <si>
    <t>=tk_takeoff!$B$5</t>
  </si>
  <si>
    <t>TK_MaterialMU</t>
  </si>
  <si>
    <t>=tk_takeoff!$B$2</t>
  </si>
  <si>
    <t>TK_MaterialMU2</t>
  </si>
  <si>
    <t>=tk_takeoff!$B$3</t>
  </si>
  <si>
    <t>TK_SubContractsMU</t>
  </si>
  <si>
    <t>=tk_takeoff!$B$7</t>
  </si>
  <si>
    <t>TK_Tax1Rate</t>
  </si>
  <si>
    <t>=tk_takeoff!$B$8</t>
  </si>
  <si>
    <t>TK_TaxRateBO</t>
  </si>
  <si>
    <t>=tk_takeoff!$C$7</t>
  </si>
  <si>
    <t>TK_TaxRateLabor</t>
  </si>
  <si>
    <t>=tk_takeoff!$C$4</t>
  </si>
  <si>
    <t>TK_TaxRateLabor2</t>
  </si>
  <si>
    <t>=tk_takeoff!$C$5</t>
  </si>
  <si>
    <t>TK_TaxRateMaterial</t>
  </si>
  <si>
    <t>=tk_takeoff!$C$2</t>
  </si>
  <si>
    <t>TK_TaxRateMaterial2</t>
  </si>
  <si>
    <t>=tk_takeoff!$C$3</t>
  </si>
  <si>
    <t>TK_TaxRateProfit</t>
  </si>
  <si>
    <t>=tk_takeoff!$C$6</t>
  </si>
  <si>
    <t>=tk_RangeNames!$B$27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</si>
</sst>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  <numFmt numFmtId="174" formatCode="[Red][&lt;=0]&quot;$&quot;#,##0.00;[Black][&gt;0]&quot;$&quot;#,##0.00;General"/>
    <numFmt numFmtId="175" formatCode="0.0"/>
    <numFmt numFmtId="176" formatCode="mmmm\ d\,\ yyyy"/>
    <numFmt numFmtId="177" formatCode="#,##0.0000000000"/>
  </numFmts>
  <fonts count="20">
    <font>
      <sz val="10"/>
      <name val="Arial"/>
      <family val="0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20"/>
      <name val="MS Sans Serif"/>
      <family val="2"/>
    </font>
    <font>
      <sz val="12"/>
      <name val="MS Sans Serif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20"/>
      <name val="MS Sans Serif"/>
      <family val="2"/>
    </font>
    <font>
      <b/>
      <sz val="10"/>
      <name val="Arial"/>
      <family val="2"/>
    </font>
    <font>
      <i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lightGray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0" fontId="3" fillId="0" borderId="0" xfId="17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1" fillId="0" borderId="0" xfId="17" applyFont="1" applyFill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0" fontId="1" fillId="0" borderId="0" xfId="17" applyFont="1" applyAlignment="1">
      <alignment/>
    </xf>
    <xf numFmtId="166" fontId="3" fillId="0" borderId="0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0" fillId="5" borderId="0" xfId="0" applyFill="1" applyAlignment="1">
      <alignment/>
    </xf>
    <xf numFmtId="173" fontId="0" fillId="5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6" fontId="1" fillId="2" borderId="3" xfId="0" applyNumberFormat="1" applyFont="1" applyFill="1" applyBorder="1" applyAlignment="1">
      <alignment/>
    </xf>
    <xf numFmtId="9" fontId="1" fillId="0" borderId="0" xfId="21" applyNumberFormat="1" applyFont="1" applyAlignment="1">
      <alignment/>
    </xf>
    <xf numFmtId="9" fontId="3" fillId="2" borderId="3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0" fontId="10" fillId="0" borderId="0" xfId="0" applyFont="1" applyAlignment="1">
      <alignment/>
    </xf>
    <xf numFmtId="4" fontId="0" fillId="5" borderId="0" xfId="0" applyNumberFormat="1" applyFill="1" applyAlignment="1">
      <alignment/>
    </xf>
    <xf numFmtId="9" fontId="0" fillId="0" borderId="0" xfId="21" applyAlignment="1">
      <alignment/>
    </xf>
    <xf numFmtId="9" fontId="1" fillId="0" borderId="0" xfId="21" applyFont="1" applyAlignment="1">
      <alignment/>
    </xf>
    <xf numFmtId="4" fontId="0" fillId="0" borderId="0" xfId="0" applyNumberFormat="1" applyAlignment="1">
      <alignment/>
    </xf>
    <xf numFmtId="0" fontId="0" fillId="6" borderId="0" xfId="0" applyFill="1" applyAlignment="1">
      <alignment/>
    </xf>
    <xf numFmtId="173" fontId="0" fillId="6" borderId="0" xfId="0" applyNumberFormat="1" applyFill="1" applyAlignment="1">
      <alignment/>
    </xf>
    <xf numFmtId="4" fontId="0" fillId="6" borderId="0" xfId="0" applyNumberFormat="1" applyFill="1" applyAlignment="1">
      <alignment/>
    </xf>
    <xf numFmtId="0" fontId="0" fillId="7" borderId="0" xfId="0" applyNumberFormat="1" applyFill="1" applyAlignment="1">
      <alignment/>
    </xf>
    <xf numFmtId="172" fontId="0" fillId="6" borderId="0" xfId="0" applyNumberFormat="1" applyFill="1" applyAlignment="1">
      <alignment/>
    </xf>
    <xf numFmtId="176" fontId="5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9" fillId="4" borderId="0" xfId="0" applyFont="1" applyFill="1" applyAlignment="1">
      <alignment/>
    </xf>
    <xf numFmtId="172" fontId="9" fillId="4" borderId="0" xfId="0" applyNumberFormat="1" applyFont="1" applyFill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172" fontId="9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5" xfId="0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4" fontId="9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4" fontId="0" fillId="0" borderId="5" xfId="0" applyNumberFormat="1" applyBorder="1" applyAlignment="1">
      <alignment/>
    </xf>
    <xf numFmtId="4" fontId="9" fillId="0" borderId="7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9" fillId="0" borderId="0" xfId="0" applyNumberFormat="1" applyFont="1" applyAlignment="1">
      <alignment horizontal="center"/>
    </xf>
    <xf numFmtId="174" fontId="16" fillId="0" borderId="0" xfId="0" applyNumberFormat="1" applyFont="1" applyAlignment="1">
      <alignment/>
    </xf>
    <xf numFmtId="174" fontId="0" fillId="0" borderId="5" xfId="0" applyNumberFormat="1" applyBorder="1" applyAlignment="1">
      <alignment/>
    </xf>
    <xf numFmtId="174" fontId="9" fillId="0" borderId="7" xfId="0" applyNumberFormat="1" applyFont="1" applyBorder="1" applyAlignment="1">
      <alignment/>
    </xf>
    <xf numFmtId="174" fontId="9" fillId="0" borderId="8" xfId="0" applyNumberFormat="1" applyFont="1" applyBorder="1" applyAlignment="1">
      <alignment/>
    </xf>
    <xf numFmtId="174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14" fillId="0" borderId="9" xfId="0" applyFont="1" applyBorder="1" applyAlignment="1">
      <alignment/>
    </xf>
    <xf numFmtId="4" fontId="9" fillId="0" borderId="9" xfId="0" applyNumberFormat="1" applyFont="1" applyBorder="1" applyAlignment="1">
      <alignment/>
    </xf>
    <xf numFmtId="4" fontId="14" fillId="0" borderId="9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9" fillId="0" borderId="0" xfId="0" applyNumberFormat="1" applyFont="1" applyAlignment="1">
      <alignment horizontal="center"/>
    </xf>
    <xf numFmtId="173" fontId="16" fillId="0" borderId="0" xfId="0" applyNumberFormat="1" applyFont="1" applyAlignment="1">
      <alignment/>
    </xf>
    <xf numFmtId="173" fontId="0" fillId="0" borderId="5" xfId="0" applyNumberFormat="1" applyBorder="1" applyAlignment="1">
      <alignment/>
    </xf>
    <xf numFmtId="173" fontId="9" fillId="0" borderId="9" xfId="0" applyNumberFormat="1" applyFont="1" applyBorder="1" applyAlignment="1">
      <alignment/>
    </xf>
    <xf numFmtId="173" fontId="14" fillId="0" borderId="9" xfId="0" applyNumberFormat="1" applyFont="1" applyBorder="1" applyAlignment="1">
      <alignment/>
    </xf>
    <xf numFmtId="0" fontId="14" fillId="8" borderId="0" xfId="0" applyFont="1" applyFill="1" applyAlignment="1">
      <alignment/>
    </xf>
    <xf numFmtId="0" fontId="0" fillId="8" borderId="0" xfId="0" applyFill="1" applyAlignment="1">
      <alignment/>
    </xf>
    <xf numFmtId="0" fontId="14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4" fillId="5" borderId="9" xfId="0" applyFont="1" applyFill="1" applyBorder="1" applyAlignment="1">
      <alignment/>
    </xf>
    <xf numFmtId="0" fontId="14" fillId="9" borderId="0" xfId="0" applyFont="1" applyFill="1" applyAlignment="1">
      <alignment/>
    </xf>
    <xf numFmtId="0" fontId="0" fillId="9" borderId="0" xfId="0" applyFill="1" applyAlignment="1">
      <alignment/>
    </xf>
    <xf numFmtId="0" fontId="9" fillId="9" borderId="0" xfId="0" applyFont="1" applyFill="1" applyAlignment="1">
      <alignment/>
    </xf>
    <xf numFmtId="0" fontId="14" fillId="9" borderId="9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8" borderId="9" xfId="0" applyFont="1" applyFill="1" applyBorder="1" applyAlignment="1">
      <alignment/>
    </xf>
    <xf numFmtId="4" fontId="0" fillId="8" borderId="0" xfId="0" applyNumberFormat="1" applyFill="1" applyAlignment="1">
      <alignment/>
    </xf>
    <xf numFmtId="4" fontId="14" fillId="5" borderId="9" xfId="0" applyNumberFormat="1" applyFont="1" applyFill="1" applyBorder="1" applyAlignment="1">
      <alignment/>
    </xf>
    <xf numFmtId="4" fontId="14" fillId="9" borderId="9" xfId="0" applyNumberFormat="1" applyFont="1" applyFill="1" applyBorder="1" applyAlignment="1">
      <alignment/>
    </xf>
    <xf numFmtId="173" fontId="0" fillId="8" borderId="0" xfId="0" applyNumberFormat="1" applyFill="1" applyAlignment="1">
      <alignment/>
    </xf>
    <xf numFmtId="173" fontId="14" fillId="5" borderId="9" xfId="0" applyNumberFormat="1" applyFont="1" applyFill="1" applyBorder="1" applyAlignment="1">
      <alignment/>
    </xf>
    <xf numFmtId="173" fontId="14" fillId="9" borderId="9" xfId="0" applyNumberFormat="1" applyFont="1" applyFill="1" applyBorder="1" applyAlignment="1">
      <alignment/>
    </xf>
    <xf numFmtId="173" fontId="14" fillId="0" borderId="7" xfId="0" applyNumberFormat="1" applyFont="1" applyBorder="1" applyAlignment="1">
      <alignment/>
    </xf>
    <xf numFmtId="173" fontId="14" fillId="0" borderId="8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5" xfId="0" applyNumberFormat="1" applyFont="1" applyBorder="1" applyAlignment="1">
      <alignment/>
    </xf>
    <xf numFmtId="173" fontId="14" fillId="8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Zeros="0" workbookViewId="0" topLeftCell="A1">
      <selection activeCell="A21" sqref="A21"/>
    </sheetView>
  </sheetViews>
  <sheetFormatPr defaultColWidth="9.140625" defaultRowHeight="12.75"/>
  <cols>
    <col min="1" max="1" width="17.57421875" style="4" bestFit="1" customWidth="1"/>
    <col min="2" max="2" width="21.28125" style="4" bestFit="1" customWidth="1"/>
    <col min="3" max="3" width="10.421875" style="4" bestFit="1" customWidth="1"/>
    <col min="4" max="4" width="11.00390625" style="4" bestFit="1" customWidth="1"/>
    <col min="5" max="5" width="9.421875" style="4" bestFit="1" customWidth="1"/>
    <col min="6" max="6" width="10.421875" style="4" bestFit="1" customWidth="1"/>
    <col min="7" max="7" width="17.00390625" style="4" bestFit="1" customWidth="1"/>
    <col min="8" max="16384" width="9.140625" style="4" customWidth="1"/>
  </cols>
  <sheetData>
    <row r="1" spans="1:6" ht="15.75">
      <c r="A1" s="41" t="s">
        <v>9</v>
      </c>
      <c r="B1" s="15"/>
      <c r="C1" s="15"/>
      <c r="D1" s="15"/>
      <c r="E1" s="15"/>
      <c r="F1" s="15"/>
    </row>
    <row r="2" spans="1:5" ht="15.75">
      <c r="A2" s="15" t="s">
        <v>6</v>
      </c>
      <c r="B2" s="19" t="str">
        <f>ProjectTitle</f>
        <v>Starlight Jewellers</v>
      </c>
      <c r="C2" s="15"/>
      <c r="D2" s="15"/>
      <c r="E2" s="15"/>
    </row>
    <row r="3" spans="1:7" ht="15.75">
      <c r="A3" s="21" t="s">
        <v>184</v>
      </c>
      <c r="B3" s="51">
        <f ca="1">TODAY()</f>
        <v>41948</v>
      </c>
      <c r="C3" s="23"/>
      <c r="D3" s="24" t="s">
        <v>0</v>
      </c>
      <c r="E3" s="25" t="s">
        <v>0</v>
      </c>
      <c r="F3" s="22" t="s">
        <v>0</v>
      </c>
      <c r="G3" s="2"/>
    </row>
    <row r="4" spans="1:7" ht="13.5" thickBot="1">
      <c r="A4" s="1"/>
      <c r="B4" s="2"/>
      <c r="C4" s="2"/>
      <c r="D4" s="12" t="s">
        <v>0</v>
      </c>
      <c r="E4" s="13"/>
      <c r="F4" s="2"/>
      <c r="G4" s="2"/>
    </row>
    <row r="5" spans="1:7" ht="13.5" thickBot="1">
      <c r="A5" s="28"/>
      <c r="B5" s="28"/>
      <c r="C5" s="29" t="s">
        <v>1</v>
      </c>
      <c r="D5" s="30" t="str">
        <f>Label_Markup&amp;" %"</f>
        <v>Markup %</v>
      </c>
      <c r="E5" s="29" t="str">
        <f>Label_Markup</f>
        <v>Markup</v>
      </c>
      <c r="F5" s="29" t="s">
        <v>185</v>
      </c>
      <c r="G5" s="2"/>
    </row>
    <row r="6" spans="1:7" ht="12.75">
      <c r="A6" s="1"/>
      <c r="B6" s="45" t="str">
        <f>Label_MaterialCost1</f>
        <v>Material Mfg</v>
      </c>
      <c r="C6" s="20">
        <f>Total_MaterialCost</f>
        <v>4485.53956974296</v>
      </c>
      <c r="D6" s="43">
        <f>Total_MaterialMU</f>
        <v>0.1</v>
      </c>
      <c r="E6" s="14">
        <f>C6*D6</f>
        <v>448.55395697429606</v>
      </c>
      <c r="F6" s="14">
        <f>C6+E6</f>
        <v>4934.093526717256</v>
      </c>
      <c r="G6" s="2"/>
    </row>
    <row r="7" spans="1:7" ht="12.75">
      <c r="A7" s="1"/>
      <c r="B7" s="45" t="str">
        <f>Label_MaterialCost2</f>
        <v>Material Buyout</v>
      </c>
      <c r="C7" s="20">
        <f>Total_MaterialCost2</f>
        <v>1000</v>
      </c>
      <c r="D7" s="43">
        <f>Total_MaterialMU2</f>
        <v>0.2</v>
      </c>
      <c r="E7" s="14">
        <f>C7*D7</f>
        <v>200</v>
      </c>
      <c r="F7" s="14">
        <f>C7+E7</f>
        <v>1200</v>
      </c>
      <c r="G7" s="2"/>
    </row>
    <row r="8" spans="1:7" ht="12.75">
      <c r="A8" s="1"/>
      <c r="B8" s="45" t="str">
        <f>Label_LaborCost1</f>
        <v>Labor Mfg</v>
      </c>
      <c r="C8" s="36">
        <f>Total_LaborCost</f>
        <v>1302.71523347222</v>
      </c>
      <c r="D8" s="44">
        <f>Total_LaborMU</f>
        <v>0.3</v>
      </c>
      <c r="E8" s="14">
        <f>C8*D8</f>
        <v>390.814570041666</v>
      </c>
      <c r="F8" s="14">
        <f>C8+E8</f>
        <v>1693.529803513886</v>
      </c>
      <c r="G8" s="2"/>
    </row>
    <row r="9" spans="1:7" ht="12.75">
      <c r="A9" s="1"/>
      <c r="B9" s="45" t="str">
        <f>Label_LaborCost2</f>
        <v>Labor Site</v>
      </c>
      <c r="C9" s="36">
        <f>Total_LaborCost2</f>
        <v>4250.3334</v>
      </c>
      <c r="D9" s="44">
        <f>Total_LaborMU2</f>
        <v>0.4</v>
      </c>
      <c r="E9" s="14">
        <f>C9*D9</f>
        <v>1700.1333600000003</v>
      </c>
      <c r="F9" s="14">
        <f>C9+E9</f>
        <v>5950.466760000001</v>
      </c>
      <c r="G9" s="2"/>
    </row>
    <row r="10" spans="1:7" ht="13.5" thickBot="1">
      <c r="A10" s="1"/>
      <c r="B10" s="5"/>
      <c r="C10" s="16"/>
      <c r="D10" s="26"/>
      <c r="E10" s="14"/>
      <c r="F10" s="14"/>
      <c r="G10" s="2"/>
    </row>
    <row r="11" spans="1:7" ht="13.5" thickBot="1">
      <c r="A11" s="7"/>
      <c r="B11" s="8" t="s">
        <v>2</v>
      </c>
      <c r="C11" s="17">
        <f>SUM(C6:C10)</f>
        <v>11038.588203215182</v>
      </c>
      <c r="D11" s="39"/>
      <c r="E11" s="17">
        <f>SUM(E6:E10)</f>
        <v>2739.5018870159624</v>
      </c>
      <c r="F11" s="18">
        <f>SUM(F6:F10)</f>
        <v>13778.090090231144</v>
      </c>
      <c r="G11" s="2"/>
    </row>
    <row r="12" spans="1:7" ht="12.75">
      <c r="A12" s="10"/>
      <c r="B12" s="45" t="str">
        <f>Label_Fee</f>
        <v>Profit</v>
      </c>
      <c r="C12" s="27">
        <f>F11</f>
        <v>13778.090090231144</v>
      </c>
      <c r="D12" s="38">
        <f>Total_FeeMU</f>
        <v>0.5</v>
      </c>
      <c r="E12" s="14">
        <f>C12*D12</f>
        <v>6889.045045115572</v>
      </c>
      <c r="F12" s="14">
        <f>E12</f>
        <v>6889.045045115572</v>
      </c>
      <c r="G12" s="52"/>
    </row>
    <row r="13" spans="1:7" ht="12.75">
      <c r="A13" s="10"/>
      <c r="B13" s="6" t="s">
        <v>10</v>
      </c>
      <c r="C13" s="20">
        <f>Total_SubContracts</f>
        <v>450</v>
      </c>
      <c r="D13" s="43">
        <f>Total_SubContractsMU</f>
        <v>0.6</v>
      </c>
      <c r="E13" s="14">
        <f>C13*D13</f>
        <v>270</v>
      </c>
      <c r="F13" s="14">
        <f>C13+E13</f>
        <v>720</v>
      </c>
      <c r="G13" s="2"/>
    </row>
    <row r="14" spans="1:7" ht="12.75">
      <c r="A14" s="10"/>
      <c r="B14" s="4" t="s">
        <v>7</v>
      </c>
      <c r="C14" s="26">
        <f>Total_Allowances</f>
        <v>750</v>
      </c>
      <c r="D14" s="40"/>
      <c r="F14" s="14">
        <f>C14+E14</f>
        <v>750</v>
      </c>
      <c r="G14" s="2"/>
    </row>
    <row r="15" spans="1:7" ht="12.75">
      <c r="A15" s="10"/>
      <c r="B15" s="4" t="s">
        <v>110</v>
      </c>
      <c r="C15" s="26">
        <f>Total_GC</f>
        <v>0</v>
      </c>
      <c r="D15" s="40"/>
      <c r="F15" s="14">
        <f>C15+E15</f>
        <v>0</v>
      </c>
      <c r="G15" s="2"/>
    </row>
    <row r="16" spans="1:7" ht="13.5" thickBot="1">
      <c r="A16" s="10"/>
      <c r="C16" s="26"/>
      <c r="D16" s="40"/>
      <c r="F16" s="14"/>
      <c r="G16" s="2"/>
    </row>
    <row r="17" spans="1:7" ht="13.5" thickBot="1">
      <c r="A17" s="7"/>
      <c r="B17" s="9" t="s">
        <v>2</v>
      </c>
      <c r="C17" s="37"/>
      <c r="D17" s="11"/>
      <c r="E17" s="9"/>
      <c r="F17" s="18">
        <f>SUM(F11:F16)</f>
        <v>22137.135135346718</v>
      </c>
      <c r="G17" s="2"/>
    </row>
    <row r="18" spans="1:7" ht="12.75">
      <c r="A18" s="10"/>
      <c r="C18" s="26"/>
      <c r="D18" s="38"/>
      <c r="E18" s="14"/>
      <c r="F18" s="14"/>
      <c r="G18" s="2"/>
    </row>
    <row r="19" spans="1:7" ht="12.75">
      <c r="A19" s="1" t="s">
        <v>186</v>
      </c>
      <c r="G19" s="2"/>
    </row>
    <row r="20" spans="1:7" ht="12.75">
      <c r="A20" s="1"/>
      <c r="G20" s="2"/>
    </row>
    <row r="21" spans="1:7" ht="12.75">
      <c r="A21" s="2"/>
      <c r="B21" s="5" t="s">
        <v>3</v>
      </c>
      <c r="C21" s="5"/>
      <c r="D21" s="12">
        <f>Total_Tax1Rate</f>
        <v>0</v>
      </c>
      <c r="E21" s="14">
        <f>D21*F17</f>
        <v>0</v>
      </c>
      <c r="F21" s="14">
        <f>E21</f>
        <v>0</v>
      </c>
      <c r="G21" s="2"/>
    </row>
    <row r="22" spans="1:7" ht="13.5" thickBot="1">
      <c r="A22" s="2"/>
      <c r="B22" s="2" t="s">
        <v>4</v>
      </c>
      <c r="C22" s="2"/>
      <c r="D22" s="3"/>
      <c r="E22" s="14">
        <f>D22*F11</f>
        <v>0</v>
      </c>
      <c r="F22" s="14">
        <f>E22</f>
        <v>0</v>
      </c>
      <c r="G22" s="2"/>
    </row>
    <row r="23" spans="1:7" ht="13.5" thickBot="1">
      <c r="A23" s="7"/>
      <c r="B23" s="9" t="s">
        <v>5</v>
      </c>
      <c r="C23" s="9"/>
      <c r="D23" s="11"/>
      <c r="E23" s="9"/>
      <c r="F23" s="18">
        <f>SUM(F17:F22)</f>
        <v>22137.135135346718</v>
      </c>
      <c r="G23" s="2"/>
    </row>
    <row r="24" ht="12.75">
      <c r="G24" s="2"/>
    </row>
    <row r="27" ht="12.75">
      <c r="A27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workbookViewId="0" topLeftCell="A1">
      <selection activeCell="A1" sqref="A1"/>
    </sheetView>
  </sheetViews>
  <sheetFormatPr defaultColWidth="9.140625" defaultRowHeight="12.75" outlineLevelRow="3" outlineLevelCol="1"/>
  <cols>
    <col min="1" max="1" width="54.140625" style="0" bestFit="1" customWidth="1"/>
    <col min="2" max="2" width="22.28125" style="0" bestFit="1" customWidth="1"/>
    <col min="3" max="3" width="8.57421875" style="0" bestFit="1" customWidth="1" outlineLevel="1"/>
    <col min="4" max="4" width="6.421875" style="0" bestFit="1" customWidth="1" outlineLevel="1"/>
    <col min="5" max="5" width="31.28125" style="0" bestFit="1" customWidth="1" outlineLevel="1"/>
    <col min="6" max="6" width="12.7109375" style="0" bestFit="1" customWidth="1"/>
    <col min="7" max="8" width="11.421875" style="0" bestFit="1" customWidth="1"/>
    <col min="9" max="9" width="12.7109375" style="0" bestFit="1" customWidth="1"/>
    <col min="10" max="10" width="3.7109375" style="0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10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</row>
    <row r="10" spans="1:10" ht="15.75">
      <c r="A10" s="91" t="s">
        <v>378</v>
      </c>
      <c r="B10" s="92"/>
      <c r="C10" s="102"/>
      <c r="D10" s="92"/>
      <c r="E10" s="92"/>
      <c r="F10" s="105"/>
      <c r="G10" s="105"/>
      <c r="H10" s="105"/>
      <c r="I10" s="105"/>
      <c r="J10" s="92"/>
    </row>
    <row r="11" spans="3:10" ht="12.75">
      <c r="C11" s="45"/>
      <c r="F11" s="85"/>
      <c r="G11" s="85"/>
      <c r="H11" s="85"/>
      <c r="I11" s="85"/>
      <c r="J11" s="92"/>
    </row>
    <row r="12" spans="1:10" ht="15.75">
      <c r="A12" s="93" t="s">
        <v>379</v>
      </c>
      <c r="B12" s="34"/>
      <c r="C12" s="69" t="s">
        <v>380</v>
      </c>
      <c r="D12" s="64" t="s">
        <v>381</v>
      </c>
      <c r="E12" s="64" t="s">
        <v>275</v>
      </c>
      <c r="F12" s="86" t="s">
        <v>276</v>
      </c>
      <c r="G12" s="86" t="s">
        <v>14</v>
      </c>
      <c r="H12" s="86" t="s">
        <v>12</v>
      </c>
      <c r="I12" s="86" t="s">
        <v>277</v>
      </c>
      <c r="J12" s="92"/>
    </row>
    <row r="13" spans="2:10" ht="15.75" outlineLevel="1">
      <c r="B13" s="93" t="s">
        <v>272</v>
      </c>
      <c r="C13" s="45"/>
      <c r="F13" s="85"/>
      <c r="G13" s="85"/>
      <c r="H13" s="85"/>
      <c r="I13" s="85"/>
      <c r="J13" s="92"/>
    </row>
    <row r="14" spans="2:10" ht="12.75" outlineLevel="2">
      <c r="B14" s="94" t="s">
        <v>382</v>
      </c>
      <c r="C14" s="45"/>
      <c r="F14" s="85"/>
      <c r="G14" s="85"/>
      <c r="H14" s="85"/>
      <c r="I14" s="85"/>
      <c r="J14" s="92"/>
    </row>
    <row r="15" spans="2:10" ht="12.75" outlineLevel="3">
      <c r="B15" s="34"/>
      <c r="C15" s="70">
        <v>12</v>
      </c>
      <c r="D15" s="65" t="s">
        <v>280</v>
      </c>
      <c r="E15" s="65" t="s">
        <v>281</v>
      </c>
      <c r="F15" s="87">
        <v>1.44</v>
      </c>
      <c r="G15" s="87">
        <f>F15*Budget_MaterialMU</f>
        <v>0.144</v>
      </c>
      <c r="H15" s="87">
        <f>(F15+G15)*Budget_FeeMU</f>
        <v>0.7919999999999999</v>
      </c>
      <c r="I15" s="87">
        <f>SUM(F15:H15)</f>
        <v>2.376</v>
      </c>
      <c r="J15" s="92"/>
    </row>
    <row r="16" spans="2:10" ht="12.75" outlineLevel="3">
      <c r="B16" s="34"/>
      <c r="C16" s="70">
        <v>350</v>
      </c>
      <c r="D16" s="65" t="s">
        <v>280</v>
      </c>
      <c r="E16" s="65" t="s">
        <v>282</v>
      </c>
      <c r="F16" s="87">
        <v>42</v>
      </c>
      <c r="G16" s="87">
        <f>F16*Budget_MaterialMU</f>
        <v>4.2</v>
      </c>
      <c r="H16" s="87">
        <f>(F16+G16)*Budget_FeeMU</f>
        <v>23.1</v>
      </c>
      <c r="I16" s="87">
        <f>SUM(F16:H16)</f>
        <v>69.30000000000001</v>
      </c>
      <c r="J16" s="92"/>
    </row>
    <row r="17" spans="2:10" ht="12.75" outlineLevel="3">
      <c r="B17" s="34"/>
      <c r="C17" s="70">
        <v>71</v>
      </c>
      <c r="D17" s="65" t="s">
        <v>280</v>
      </c>
      <c r="E17" s="65" t="s">
        <v>283</v>
      </c>
      <c r="F17" s="87">
        <v>3.55</v>
      </c>
      <c r="G17" s="87">
        <f>F17*Budget_MaterialMU</f>
        <v>0.355</v>
      </c>
      <c r="H17" s="87">
        <f>(F17+G17)*Budget_FeeMU</f>
        <v>1.9525</v>
      </c>
      <c r="I17" s="87">
        <f>SUM(F17:H17)</f>
        <v>5.8575</v>
      </c>
      <c r="J17" s="92"/>
    </row>
    <row r="18" spans="2:10" ht="12.75" outlineLevel="3">
      <c r="B18" s="34"/>
      <c r="C18" s="70">
        <v>220</v>
      </c>
      <c r="D18" s="65" t="s">
        <v>280</v>
      </c>
      <c r="E18" s="65" t="s">
        <v>284</v>
      </c>
      <c r="F18" s="87">
        <v>92.4</v>
      </c>
      <c r="G18" s="87">
        <f>F18*Budget_MaterialMU</f>
        <v>9.24</v>
      </c>
      <c r="H18" s="87">
        <f>(F18+G18)*Budget_FeeMU</f>
        <v>50.82</v>
      </c>
      <c r="I18" s="87">
        <f>SUM(F18:H18)</f>
        <v>152.46</v>
      </c>
      <c r="J18" s="92"/>
    </row>
    <row r="19" spans="2:10" ht="12.75" outlineLevel="3">
      <c r="B19" s="34"/>
      <c r="C19" s="70">
        <v>70.33333333333334</v>
      </c>
      <c r="D19" s="65" t="s">
        <v>280</v>
      </c>
      <c r="E19" s="65" t="s">
        <v>285</v>
      </c>
      <c r="F19" s="87">
        <v>23.21</v>
      </c>
      <c r="G19" s="87">
        <f>F19*Budget_MaterialMU</f>
        <v>2.321</v>
      </c>
      <c r="H19" s="87">
        <f>(F19+G19)*Budget_FeeMU</f>
        <v>12.765500000000001</v>
      </c>
      <c r="I19" s="87">
        <f>SUM(F19:H19)</f>
        <v>38.2965</v>
      </c>
      <c r="J19" s="92"/>
    </row>
    <row r="20" spans="2:10" ht="13.5" outlineLevel="2" thickBot="1">
      <c r="B20" s="34"/>
      <c r="C20" s="71">
        <f>SUBTOTAL(9,C15:C19)</f>
        <v>723.3333333333334</v>
      </c>
      <c r="D20" s="66"/>
      <c r="E20" s="66"/>
      <c r="F20" s="88">
        <f>SUBTOTAL(9,F15:F19)</f>
        <v>162.6</v>
      </c>
      <c r="G20" s="88">
        <f>SUBTOTAL(9,G15:G19)</f>
        <v>16.26</v>
      </c>
      <c r="H20" s="88">
        <f>SUBTOTAL(9,H15:H19)</f>
        <v>89.43</v>
      </c>
      <c r="I20" s="88">
        <f>SUBTOTAL(9,I15:I19)</f>
        <v>268.29</v>
      </c>
      <c r="J20" s="92"/>
    </row>
    <row r="21" spans="2:10" ht="13.5" outlineLevel="1" thickTop="1">
      <c r="B21" s="34"/>
      <c r="C21" s="83">
        <f>SUBTOTAL(9,C14:C19)</f>
        <v>723.3333333333334</v>
      </c>
      <c r="D21" s="81"/>
      <c r="E21" s="81" t="s">
        <v>288</v>
      </c>
      <c r="F21" s="89">
        <f>SUBTOTAL(9,F14:F19)</f>
        <v>162.6</v>
      </c>
      <c r="G21" s="89">
        <f>SUBTOTAL(9,G14:G19)</f>
        <v>16.26</v>
      </c>
      <c r="H21" s="89">
        <f>SUBTOTAL(9,H14:H19)</f>
        <v>89.43</v>
      </c>
      <c r="I21" s="89">
        <f>SUBTOTAL(9,I14:I19)</f>
        <v>268.29</v>
      </c>
      <c r="J21" s="92"/>
    </row>
    <row r="22" spans="2:10" ht="15.75" outlineLevel="1">
      <c r="B22" s="93" t="s">
        <v>289</v>
      </c>
      <c r="C22" s="45"/>
      <c r="F22" s="85"/>
      <c r="G22" s="85"/>
      <c r="H22" s="85"/>
      <c r="I22" s="85"/>
      <c r="J22" s="92"/>
    </row>
    <row r="23" spans="2:10" ht="12.75" outlineLevel="2">
      <c r="B23" s="94" t="s">
        <v>383</v>
      </c>
      <c r="C23" s="45"/>
      <c r="F23" s="85"/>
      <c r="G23" s="85"/>
      <c r="H23" s="85"/>
      <c r="I23" s="85"/>
      <c r="J23" s="92"/>
    </row>
    <row r="24" spans="2:10" ht="12.75" outlineLevel="3">
      <c r="B24" s="34"/>
      <c r="C24" s="70">
        <v>400</v>
      </c>
      <c r="D24" s="65" t="s">
        <v>291</v>
      </c>
      <c r="E24" s="65" t="s">
        <v>292</v>
      </c>
      <c r="F24" s="87">
        <v>4</v>
      </c>
      <c r="G24" s="87">
        <f>F24*Budget_MaterialMU</f>
        <v>0.4</v>
      </c>
      <c r="H24" s="87">
        <f>(F24+G24)*Budget_FeeMU</f>
        <v>2.2</v>
      </c>
      <c r="I24" s="87">
        <f>SUM(F24:H24)</f>
        <v>6.6000000000000005</v>
      </c>
      <c r="J24" s="92"/>
    </row>
    <row r="25" spans="2:10" ht="12.75" outlineLevel="2">
      <c r="B25" s="34"/>
      <c r="C25" s="71">
        <f>SUBTOTAL(9,C24:C24)</f>
        <v>400</v>
      </c>
      <c r="D25" s="66"/>
      <c r="E25" s="66"/>
      <c r="F25" s="88">
        <f>SUBTOTAL(9,F24:F24)</f>
        <v>4</v>
      </c>
      <c r="G25" s="88">
        <f>SUBTOTAL(9,G24:G24)</f>
        <v>0.4</v>
      </c>
      <c r="H25" s="88">
        <f>SUBTOTAL(9,H24:H24)</f>
        <v>2.2</v>
      </c>
      <c r="I25" s="88">
        <f>SUBTOTAL(9,I24:I24)</f>
        <v>6.6000000000000005</v>
      </c>
      <c r="J25" s="92"/>
    </row>
    <row r="26" spans="2:10" ht="12.75" outlineLevel="2">
      <c r="B26" s="94" t="s">
        <v>384</v>
      </c>
      <c r="C26" s="45"/>
      <c r="F26" s="85"/>
      <c r="G26" s="85"/>
      <c r="H26" s="85"/>
      <c r="I26" s="85"/>
      <c r="J26" s="92"/>
    </row>
    <row r="27" spans="2:10" ht="12.75" outlineLevel="3">
      <c r="B27" s="34"/>
      <c r="C27" s="70">
        <v>16</v>
      </c>
      <c r="D27" s="65" t="s">
        <v>291</v>
      </c>
      <c r="E27" s="65" t="s">
        <v>294</v>
      </c>
      <c r="F27" s="87">
        <v>36</v>
      </c>
      <c r="G27" s="87">
        <f>F27*Budget_MaterialMU</f>
        <v>3.6</v>
      </c>
      <c r="H27" s="87">
        <f>(F27+G27)*Budget_FeeMU</f>
        <v>19.8</v>
      </c>
      <c r="I27" s="87">
        <f>SUM(F27:H27)</f>
        <v>59.400000000000006</v>
      </c>
      <c r="J27" s="92"/>
    </row>
    <row r="28" spans="2:10" ht="12.75" outlineLevel="3">
      <c r="B28" s="34"/>
      <c r="C28" s="70">
        <v>16</v>
      </c>
      <c r="D28" s="65" t="s">
        <v>291</v>
      </c>
      <c r="E28" s="65" t="s">
        <v>295</v>
      </c>
      <c r="F28" s="87">
        <v>9.6</v>
      </c>
      <c r="G28" s="87">
        <f>F28*Budget_MaterialMU</f>
        <v>0.96</v>
      </c>
      <c r="H28" s="87">
        <f>(F28+G28)*Budget_FeeMU</f>
        <v>5.279999999999999</v>
      </c>
      <c r="I28" s="87">
        <f>SUM(F28:H28)</f>
        <v>15.839999999999998</v>
      </c>
      <c r="J28" s="92"/>
    </row>
    <row r="29" spans="2:10" ht="12.75" outlineLevel="2">
      <c r="B29" s="34"/>
      <c r="C29" s="71">
        <f>SUBTOTAL(9,C27:C28)</f>
        <v>32</v>
      </c>
      <c r="D29" s="66"/>
      <c r="E29" s="66"/>
      <c r="F29" s="88">
        <f>SUBTOTAL(9,F27:F28)</f>
        <v>45.6</v>
      </c>
      <c r="G29" s="88">
        <f>SUBTOTAL(9,G27:G28)</f>
        <v>4.5600000000000005</v>
      </c>
      <c r="H29" s="88">
        <f>SUBTOTAL(9,H27:H28)</f>
        <v>25.08</v>
      </c>
      <c r="I29" s="88">
        <f>SUBTOTAL(9,I27:I28)</f>
        <v>75.24000000000001</v>
      </c>
      <c r="J29" s="92"/>
    </row>
    <row r="30" spans="2:10" ht="12.75" outlineLevel="2">
      <c r="B30" s="94" t="s">
        <v>385</v>
      </c>
      <c r="C30" s="45"/>
      <c r="F30" s="85"/>
      <c r="G30" s="85"/>
      <c r="H30" s="85"/>
      <c r="I30" s="85"/>
      <c r="J30" s="92"/>
    </row>
    <row r="31" spans="2:10" ht="12.75" outlineLevel="3">
      <c r="B31" s="34"/>
      <c r="C31" s="70">
        <v>28</v>
      </c>
      <c r="D31" s="65" t="s">
        <v>291</v>
      </c>
      <c r="E31" s="65" t="s">
        <v>297</v>
      </c>
      <c r="F31" s="87">
        <v>700</v>
      </c>
      <c r="G31" s="87">
        <f>F31*Budget_MaterialMU</f>
        <v>70</v>
      </c>
      <c r="H31" s="87">
        <f>(F31+G31)*Budget_FeeMU</f>
        <v>385</v>
      </c>
      <c r="I31" s="87">
        <f>SUM(F31:H31)</f>
        <v>1155</v>
      </c>
      <c r="J31" s="92"/>
    </row>
    <row r="32" spans="2:10" ht="12.75" outlineLevel="2">
      <c r="B32" s="34"/>
      <c r="C32" s="71">
        <f>SUBTOTAL(9,C31:C31)</f>
        <v>28</v>
      </c>
      <c r="D32" s="66"/>
      <c r="E32" s="66"/>
      <c r="F32" s="88">
        <f>SUBTOTAL(9,F31:F31)</f>
        <v>700</v>
      </c>
      <c r="G32" s="88">
        <f>SUBTOTAL(9,G31:G31)</f>
        <v>70</v>
      </c>
      <c r="H32" s="88">
        <f>SUBTOTAL(9,H31:H31)</f>
        <v>385</v>
      </c>
      <c r="I32" s="88">
        <f>SUBTOTAL(9,I31:I31)</f>
        <v>1155</v>
      </c>
      <c r="J32" s="92"/>
    </row>
    <row r="33" spans="2:10" ht="12.75" outlineLevel="2">
      <c r="B33" s="94" t="s">
        <v>386</v>
      </c>
      <c r="C33" s="45"/>
      <c r="F33" s="85"/>
      <c r="G33" s="85"/>
      <c r="H33" s="85"/>
      <c r="I33" s="85"/>
      <c r="J33" s="92"/>
    </row>
    <row r="34" spans="2:10" ht="12.75" outlineLevel="3">
      <c r="B34" s="34"/>
      <c r="C34" s="70">
        <v>38</v>
      </c>
      <c r="D34" s="65" t="s">
        <v>291</v>
      </c>
      <c r="E34" s="65" t="s">
        <v>301</v>
      </c>
      <c r="F34" s="87">
        <v>22.8</v>
      </c>
      <c r="G34" s="87">
        <f>F34*Budget_MaterialMU</f>
        <v>2.2800000000000002</v>
      </c>
      <c r="H34" s="87">
        <f>(F34+G34)*Budget_FeeMU</f>
        <v>12.540000000000001</v>
      </c>
      <c r="I34" s="87">
        <f>SUM(F34:H34)</f>
        <v>37.620000000000005</v>
      </c>
      <c r="J34" s="92"/>
    </row>
    <row r="35" spans="2:10" ht="12.75" outlineLevel="2">
      <c r="B35" s="34"/>
      <c r="C35" s="71">
        <f>SUBTOTAL(9,C34:C34)</f>
        <v>38</v>
      </c>
      <c r="D35" s="66"/>
      <c r="E35" s="66"/>
      <c r="F35" s="88">
        <f>SUBTOTAL(9,F34:F34)</f>
        <v>22.8</v>
      </c>
      <c r="G35" s="88">
        <f>SUBTOTAL(9,G34:G34)</f>
        <v>2.2800000000000002</v>
      </c>
      <c r="H35" s="88">
        <f>SUBTOTAL(9,H34:H34)</f>
        <v>12.540000000000001</v>
      </c>
      <c r="I35" s="88">
        <f>SUBTOTAL(9,I34:I34)</f>
        <v>37.620000000000005</v>
      </c>
      <c r="J35" s="92"/>
    </row>
    <row r="36" spans="2:10" ht="12.75" outlineLevel="2">
      <c r="B36" s="94" t="s">
        <v>387</v>
      </c>
      <c r="C36" s="45"/>
      <c r="F36" s="85"/>
      <c r="G36" s="85"/>
      <c r="H36" s="85"/>
      <c r="I36" s="85"/>
      <c r="J36" s="92"/>
    </row>
    <row r="37" spans="2:10" ht="12.75" outlineLevel="3">
      <c r="B37" s="34"/>
      <c r="C37" s="70">
        <v>20</v>
      </c>
      <c r="D37" s="65" t="s">
        <v>291</v>
      </c>
      <c r="E37" s="65" t="s">
        <v>303</v>
      </c>
      <c r="F37" s="87">
        <v>0.6</v>
      </c>
      <c r="G37" s="87">
        <f>F37*Budget_MaterialMU</f>
        <v>0.06</v>
      </c>
      <c r="H37" s="87">
        <f>(F37+G37)*Budget_FeeMU</f>
        <v>0.32999999999999996</v>
      </c>
      <c r="I37" s="87">
        <f>SUM(F37:H37)</f>
        <v>0.9899999999999999</v>
      </c>
      <c r="J37" s="92"/>
    </row>
    <row r="38" spans="2:10" ht="12.75" outlineLevel="2">
      <c r="B38" s="34"/>
      <c r="C38" s="71">
        <f>SUBTOTAL(9,C37:C37)</f>
        <v>20</v>
      </c>
      <c r="D38" s="66"/>
      <c r="E38" s="66"/>
      <c r="F38" s="88">
        <f>SUBTOTAL(9,F37:F37)</f>
        <v>0.6</v>
      </c>
      <c r="G38" s="88">
        <f>SUBTOTAL(9,G37:G37)</f>
        <v>0.06</v>
      </c>
      <c r="H38" s="88">
        <f>SUBTOTAL(9,H37:H37)</f>
        <v>0.32999999999999996</v>
      </c>
      <c r="I38" s="88">
        <f>SUBTOTAL(9,I37:I37)</f>
        <v>0.9899999999999999</v>
      </c>
      <c r="J38" s="92"/>
    </row>
    <row r="39" spans="2:10" ht="12.75" outlineLevel="2">
      <c r="B39" s="94" t="s">
        <v>388</v>
      </c>
      <c r="C39" s="45"/>
      <c r="F39" s="85"/>
      <c r="G39" s="85"/>
      <c r="H39" s="85"/>
      <c r="I39" s="85"/>
      <c r="J39" s="92"/>
    </row>
    <row r="40" spans="2:10" ht="12.75" outlineLevel="3">
      <c r="B40" s="34"/>
      <c r="C40" s="70">
        <v>30</v>
      </c>
      <c r="D40" s="65" t="s">
        <v>306</v>
      </c>
      <c r="E40" s="65" t="s">
        <v>307</v>
      </c>
      <c r="F40" s="87">
        <v>90</v>
      </c>
      <c r="G40" s="87">
        <f>F40*Budget_MaterialMU</f>
        <v>9</v>
      </c>
      <c r="H40" s="87">
        <f>(F40+G40)*Budget_FeeMU</f>
        <v>49.5</v>
      </c>
      <c r="I40" s="87">
        <f>SUM(F40:H40)</f>
        <v>148.5</v>
      </c>
      <c r="J40" s="92"/>
    </row>
    <row r="41" spans="2:10" ht="13.5" outlineLevel="2" thickBot="1">
      <c r="B41" s="34"/>
      <c r="C41" s="71">
        <f>SUBTOTAL(9,C40:C40)</f>
        <v>30</v>
      </c>
      <c r="D41" s="66"/>
      <c r="E41" s="66"/>
      <c r="F41" s="88">
        <f>SUBTOTAL(9,F40:F40)</f>
        <v>90</v>
      </c>
      <c r="G41" s="88">
        <f>SUBTOTAL(9,G40:G40)</f>
        <v>9</v>
      </c>
      <c r="H41" s="88">
        <f>SUBTOTAL(9,H40:H40)</f>
        <v>49.5</v>
      </c>
      <c r="I41" s="88">
        <f>SUBTOTAL(9,I40:I40)</f>
        <v>148.5</v>
      </c>
      <c r="J41" s="92"/>
    </row>
    <row r="42" spans="2:10" ht="13.5" outlineLevel="1" thickTop="1">
      <c r="B42" s="34"/>
      <c r="C42" s="83">
        <f>SUBTOTAL(9,C23:C40)</f>
        <v>548</v>
      </c>
      <c r="D42" s="81"/>
      <c r="E42" s="81" t="s">
        <v>308</v>
      </c>
      <c r="F42" s="89">
        <f>SUBTOTAL(9,F23:F40)</f>
        <v>863</v>
      </c>
      <c r="G42" s="89">
        <f>SUBTOTAL(9,G23:G40)</f>
        <v>86.3</v>
      </c>
      <c r="H42" s="89">
        <f>SUBTOTAL(9,H23:H40)</f>
        <v>474.65</v>
      </c>
      <c r="I42" s="89">
        <f>SUBTOTAL(9,I23:I40)</f>
        <v>1423.95</v>
      </c>
      <c r="J42" s="92"/>
    </row>
    <row r="43" spans="2:10" ht="15.75" outlineLevel="1">
      <c r="B43" s="93" t="s">
        <v>318</v>
      </c>
      <c r="C43" s="45"/>
      <c r="F43" s="85"/>
      <c r="G43" s="85"/>
      <c r="H43" s="85"/>
      <c r="I43" s="85"/>
      <c r="J43" s="92"/>
    </row>
    <row r="44" spans="2:10" ht="12.75" outlineLevel="2">
      <c r="B44" s="94" t="s">
        <v>389</v>
      </c>
      <c r="C44" s="45"/>
      <c r="F44" s="85"/>
      <c r="G44" s="85"/>
      <c r="H44" s="85"/>
      <c r="I44" s="85"/>
      <c r="J44" s="92"/>
    </row>
    <row r="45" spans="2:10" ht="12.75" outlineLevel="3">
      <c r="B45" s="34"/>
      <c r="C45" s="70">
        <v>28.583333333333336</v>
      </c>
      <c r="D45" s="65" t="s">
        <v>320</v>
      </c>
      <c r="E45" s="65" t="s">
        <v>321</v>
      </c>
      <c r="F45" s="87">
        <v>82.38725490196077</v>
      </c>
      <c r="G45" s="87">
        <f>F45*Budget_MaterialMU</f>
        <v>8.238725490196078</v>
      </c>
      <c r="H45" s="87">
        <f>(F45+G45)*Budget_FeeMU</f>
        <v>45.312990196078424</v>
      </c>
      <c r="I45" s="87">
        <f>SUM(F45:H45)</f>
        <v>135.93897058823526</v>
      </c>
      <c r="J45" s="92"/>
    </row>
    <row r="46" spans="2:10" ht="12.75" outlineLevel="2">
      <c r="B46" s="34"/>
      <c r="C46" s="71">
        <f>SUBTOTAL(9,C45:C45)</f>
        <v>28.583333333333336</v>
      </c>
      <c r="D46" s="66"/>
      <c r="E46" s="66"/>
      <c r="F46" s="88">
        <f>SUBTOTAL(9,F45:F45)</f>
        <v>82.38725490196077</v>
      </c>
      <c r="G46" s="88">
        <f>SUBTOTAL(9,G45:G45)</f>
        <v>8.238725490196078</v>
      </c>
      <c r="H46" s="88">
        <f>SUBTOTAL(9,H45:H45)</f>
        <v>45.312990196078424</v>
      </c>
      <c r="I46" s="88">
        <f>SUBTOTAL(9,I45:I45)</f>
        <v>135.93897058823526</v>
      </c>
      <c r="J46" s="92"/>
    </row>
    <row r="47" spans="2:10" ht="12.75" outlineLevel="2">
      <c r="B47" s="94" t="s">
        <v>390</v>
      </c>
      <c r="C47" s="45"/>
      <c r="F47" s="85"/>
      <c r="G47" s="85"/>
      <c r="H47" s="85"/>
      <c r="I47" s="85"/>
      <c r="J47" s="92"/>
    </row>
    <row r="48" spans="2:10" ht="12.75" outlineLevel="3">
      <c r="B48" s="34"/>
      <c r="C48" s="70">
        <v>12</v>
      </c>
      <c r="D48" s="65" t="s">
        <v>320</v>
      </c>
      <c r="E48" s="65" t="s">
        <v>323</v>
      </c>
      <c r="F48" s="87">
        <v>16.235294117647058</v>
      </c>
      <c r="G48" s="87">
        <f>F48*Budget_MaterialMU</f>
        <v>1.6235294117647059</v>
      </c>
      <c r="H48" s="87">
        <f>(F48+G48)*Budget_FeeMU</f>
        <v>8.929411764705883</v>
      </c>
      <c r="I48" s="87">
        <f>SUM(F48:H48)</f>
        <v>26.788235294117648</v>
      </c>
      <c r="J48" s="92"/>
    </row>
    <row r="49" spans="2:10" ht="12.75" outlineLevel="3">
      <c r="B49" s="34"/>
      <c r="C49" s="70">
        <v>36.458333333333336</v>
      </c>
      <c r="D49" s="65" t="s">
        <v>320</v>
      </c>
      <c r="E49" s="65" t="s">
        <v>324</v>
      </c>
      <c r="F49" s="87">
        <v>42.06730769230769</v>
      </c>
      <c r="G49" s="87">
        <f>F49*Budget_MaterialMU</f>
        <v>4.206730769230769</v>
      </c>
      <c r="H49" s="87">
        <f>(F49+G49)*Budget_FeeMU</f>
        <v>23.13701923076923</v>
      </c>
      <c r="I49" s="87">
        <f>SUM(F49:H49)</f>
        <v>69.4110576923077</v>
      </c>
      <c r="J49" s="92"/>
    </row>
    <row r="50" spans="2:10" ht="12.75" outlineLevel="3">
      <c r="B50" s="34"/>
      <c r="C50" s="70">
        <v>95.22222222222223</v>
      </c>
      <c r="D50" s="65" t="s">
        <v>320</v>
      </c>
      <c r="E50" s="65" t="s">
        <v>325</v>
      </c>
      <c r="F50" s="87">
        <v>89.62091503267975</v>
      </c>
      <c r="G50" s="87">
        <f>F50*Budget_MaterialMU</f>
        <v>8.962091503267976</v>
      </c>
      <c r="H50" s="87">
        <f>(F50+G50)*Budget_FeeMU</f>
        <v>49.29150326797386</v>
      </c>
      <c r="I50" s="87">
        <f>SUM(F50:H50)</f>
        <v>147.87450980392157</v>
      </c>
      <c r="J50" s="92"/>
    </row>
    <row r="51" spans="2:10" ht="12.75" outlineLevel="3">
      <c r="B51" s="34"/>
      <c r="C51" s="70">
        <v>17</v>
      </c>
      <c r="D51" s="65" t="s">
        <v>320</v>
      </c>
      <c r="E51" s="65" t="s">
        <v>326</v>
      </c>
      <c r="F51" s="87">
        <v>19</v>
      </c>
      <c r="G51" s="87">
        <f>F51*Budget_MaterialMU</f>
        <v>1.9000000000000001</v>
      </c>
      <c r="H51" s="87">
        <f>(F51+G51)*Budget_FeeMU</f>
        <v>10.45</v>
      </c>
      <c r="I51" s="87">
        <f>SUM(F51:H51)</f>
        <v>31.349999999999998</v>
      </c>
      <c r="J51" s="92"/>
    </row>
    <row r="52" spans="2:10" ht="12.75" outlineLevel="2">
      <c r="B52" s="34"/>
      <c r="C52" s="71">
        <f>SUBTOTAL(9,C48:C51)</f>
        <v>160.68055555555557</v>
      </c>
      <c r="D52" s="66"/>
      <c r="E52" s="66"/>
      <c r="F52" s="88">
        <f>SUBTOTAL(9,F48:F51)</f>
        <v>166.9235168426345</v>
      </c>
      <c r="G52" s="88">
        <f>SUBTOTAL(9,G48:G51)</f>
        <v>16.69235168426345</v>
      </c>
      <c r="H52" s="88">
        <f>SUBTOTAL(9,H48:H51)</f>
        <v>91.80793426344898</v>
      </c>
      <c r="I52" s="88">
        <f>SUBTOTAL(9,I48:I51)</f>
        <v>275.42380279034694</v>
      </c>
      <c r="J52" s="92"/>
    </row>
    <row r="53" spans="2:10" ht="12.75" outlineLevel="2">
      <c r="B53" s="94" t="s">
        <v>391</v>
      </c>
      <c r="C53" s="45"/>
      <c r="F53" s="85"/>
      <c r="G53" s="85"/>
      <c r="H53" s="85"/>
      <c r="I53" s="85"/>
      <c r="J53" s="92"/>
    </row>
    <row r="54" spans="2:10" ht="12.75" outlineLevel="3">
      <c r="B54" s="34"/>
      <c r="C54" s="70">
        <v>48.25</v>
      </c>
      <c r="D54" s="65" t="s">
        <v>320</v>
      </c>
      <c r="E54" s="65" t="s">
        <v>328</v>
      </c>
      <c r="F54" s="87">
        <v>15.078125</v>
      </c>
      <c r="G54" s="87">
        <f>F54*Budget_MaterialMU</f>
        <v>1.5078125</v>
      </c>
      <c r="H54" s="87">
        <f>(F54+G54)*Budget_FeeMU</f>
        <v>8.29296875</v>
      </c>
      <c r="I54" s="87">
        <f>SUM(F54:H54)</f>
        <v>24.87890625</v>
      </c>
      <c r="J54" s="92"/>
    </row>
    <row r="55" spans="2:10" ht="12.75" outlineLevel="3">
      <c r="B55" s="34"/>
      <c r="C55" s="70">
        <v>64</v>
      </c>
      <c r="D55" s="65" t="s">
        <v>320</v>
      </c>
      <c r="E55" s="65" t="s">
        <v>329</v>
      </c>
      <c r="F55" s="87">
        <v>92</v>
      </c>
      <c r="G55" s="87">
        <f>F55*Budget_MaterialMU</f>
        <v>9.200000000000001</v>
      </c>
      <c r="H55" s="87">
        <f>(F55+G55)*Budget_FeeMU</f>
        <v>50.6</v>
      </c>
      <c r="I55" s="87">
        <f>SUM(F55:H55)</f>
        <v>151.8</v>
      </c>
      <c r="J55" s="92"/>
    </row>
    <row r="56" spans="2:10" ht="12.75" outlineLevel="2">
      <c r="B56" s="34"/>
      <c r="C56" s="71">
        <f>SUBTOTAL(9,C54:C55)</f>
        <v>112.25</v>
      </c>
      <c r="D56" s="66"/>
      <c r="E56" s="66"/>
      <c r="F56" s="88">
        <f>SUBTOTAL(9,F54:F55)</f>
        <v>107.078125</v>
      </c>
      <c r="G56" s="88">
        <f>SUBTOTAL(9,G54:G55)</f>
        <v>10.707812500000001</v>
      </c>
      <c r="H56" s="88">
        <f>SUBTOTAL(9,H54:H55)</f>
        <v>58.89296875</v>
      </c>
      <c r="I56" s="88">
        <f>SUBTOTAL(9,I54:I55)</f>
        <v>176.67890625</v>
      </c>
      <c r="J56" s="92"/>
    </row>
    <row r="57" spans="2:10" ht="12.75" outlineLevel="2">
      <c r="B57" s="94" t="s">
        <v>392</v>
      </c>
      <c r="C57" s="45"/>
      <c r="F57" s="85"/>
      <c r="G57" s="85"/>
      <c r="H57" s="85"/>
      <c r="I57" s="85"/>
      <c r="J57" s="92"/>
    </row>
    <row r="58" spans="2:10" ht="12.75" outlineLevel="3">
      <c r="B58" s="34"/>
      <c r="C58" s="70">
        <v>138</v>
      </c>
      <c r="D58" s="65" t="s">
        <v>320</v>
      </c>
      <c r="E58" s="65" t="s">
        <v>332</v>
      </c>
      <c r="F58" s="87">
        <v>251.6470588235294</v>
      </c>
      <c r="G58" s="87">
        <f>F58*Budget_MaterialMU</f>
        <v>25.16470588235294</v>
      </c>
      <c r="H58" s="87">
        <f>(F58+G58)*Budget_FeeMU</f>
        <v>138.40588235294118</v>
      </c>
      <c r="I58" s="87">
        <f>SUM(F58:H58)</f>
        <v>415.21764705882356</v>
      </c>
      <c r="J58" s="92"/>
    </row>
    <row r="59" spans="2:10" ht="12.75" outlineLevel="3">
      <c r="B59" s="34"/>
      <c r="C59" s="70">
        <v>148</v>
      </c>
      <c r="D59" s="65" t="s">
        <v>320</v>
      </c>
      <c r="E59" s="65" t="s">
        <v>333</v>
      </c>
      <c r="F59" s="87">
        <v>243.76470588235296</v>
      </c>
      <c r="G59" s="87">
        <f>F59*Budget_MaterialMU</f>
        <v>24.376470588235296</v>
      </c>
      <c r="H59" s="87">
        <f>(F59+G59)*Budget_FeeMU</f>
        <v>134.07058823529414</v>
      </c>
      <c r="I59" s="87">
        <f>SUM(F59:H59)</f>
        <v>402.2117647058824</v>
      </c>
      <c r="J59" s="92"/>
    </row>
    <row r="60" spans="2:10" ht="12.75" outlineLevel="3">
      <c r="B60" s="34"/>
      <c r="C60" s="70">
        <v>159.33333333333331</v>
      </c>
      <c r="D60" s="65" t="s">
        <v>320</v>
      </c>
      <c r="E60" s="65" t="s">
        <v>334</v>
      </c>
      <c r="F60" s="87">
        <v>290.54901960784315</v>
      </c>
      <c r="G60" s="87">
        <f>F60*Budget_MaterialMU</f>
        <v>29.054901960784317</v>
      </c>
      <c r="H60" s="87">
        <f>(F60+G60)*Budget_FeeMU</f>
        <v>159.80196078431374</v>
      </c>
      <c r="I60" s="87">
        <f>SUM(F60:H60)</f>
        <v>479.4058823529412</v>
      </c>
      <c r="J60" s="92"/>
    </row>
    <row r="61" spans="2:10" ht="12.75" outlineLevel="3">
      <c r="B61" s="34"/>
      <c r="C61" s="70">
        <v>76</v>
      </c>
      <c r="D61" s="65" t="s">
        <v>320</v>
      </c>
      <c r="E61" s="65" t="s">
        <v>335</v>
      </c>
      <c r="F61" s="87">
        <v>156.47058823529414</v>
      </c>
      <c r="G61" s="87">
        <f>F61*Budget_MaterialMU</f>
        <v>15.647058823529415</v>
      </c>
      <c r="H61" s="87">
        <f>(F61+G61)*Budget_FeeMU</f>
        <v>86.05882352941178</v>
      </c>
      <c r="I61" s="87">
        <f>SUM(F61:H61)</f>
        <v>258.17647058823536</v>
      </c>
      <c r="J61" s="92"/>
    </row>
    <row r="62" spans="2:10" ht="12.75" outlineLevel="3">
      <c r="B62" s="34"/>
      <c r="C62" s="70">
        <v>90.52777777777776</v>
      </c>
      <c r="D62" s="65" t="s">
        <v>320</v>
      </c>
      <c r="E62" s="65" t="s">
        <v>336</v>
      </c>
      <c r="F62" s="87">
        <v>69.22712418300654</v>
      </c>
      <c r="G62" s="87">
        <f>F62*Budget_MaterialMU</f>
        <v>6.922712418300654</v>
      </c>
      <c r="H62" s="87">
        <f>(F62+G62)*Budget_FeeMU</f>
        <v>38.07491830065359</v>
      </c>
      <c r="I62" s="87">
        <f>SUM(F62:H62)</f>
        <v>114.22475490196078</v>
      </c>
      <c r="J62" s="92"/>
    </row>
    <row r="63" spans="2:10" ht="13.5" outlineLevel="2" thickBot="1">
      <c r="B63" s="34"/>
      <c r="C63" s="71">
        <f>SUBTOTAL(9,C58:C62)</f>
        <v>611.861111111111</v>
      </c>
      <c r="D63" s="66"/>
      <c r="E63" s="66"/>
      <c r="F63" s="88">
        <f>SUBTOTAL(9,F58:F62)</f>
        <v>1011.6584967320262</v>
      </c>
      <c r="G63" s="88">
        <f>SUBTOTAL(9,G58:G62)</f>
        <v>101.16584967320263</v>
      </c>
      <c r="H63" s="88">
        <f>SUBTOTAL(9,H58:H62)</f>
        <v>556.4121732026144</v>
      </c>
      <c r="I63" s="88">
        <f>SUBTOTAL(9,I58:I62)</f>
        <v>1669.2365196078433</v>
      </c>
      <c r="J63" s="92"/>
    </row>
    <row r="64" spans="2:10" ht="14.25" outlineLevel="1" thickBot="1" thickTop="1">
      <c r="B64" s="34"/>
      <c r="C64" s="83">
        <f>SUBTOTAL(9,C44:C62)</f>
        <v>913.3749999999999</v>
      </c>
      <c r="D64" s="81"/>
      <c r="E64" s="81" t="s">
        <v>337</v>
      </c>
      <c r="F64" s="89">
        <f>SUBTOTAL(9,F44:F62)</f>
        <v>1368.0473934766214</v>
      </c>
      <c r="G64" s="89">
        <f>SUBTOTAL(9,G44:G62)</f>
        <v>136.80473934766215</v>
      </c>
      <c r="H64" s="89">
        <f>SUBTOTAL(9,H44:H62)</f>
        <v>752.4260664121418</v>
      </c>
      <c r="I64" s="89">
        <f>SUBTOTAL(9,I44:I62)</f>
        <v>2257.2781992364257</v>
      </c>
      <c r="J64" s="92"/>
    </row>
    <row r="65" spans="2:10" ht="16.5" thickTop="1">
      <c r="B65" s="34"/>
      <c r="C65" s="103"/>
      <c r="D65" s="95"/>
      <c r="E65" s="95" t="s">
        <v>393</v>
      </c>
      <c r="F65" s="106">
        <f>SUBTOTAL(9,F13:F63)</f>
        <v>2393.6473934766213</v>
      </c>
      <c r="G65" s="106">
        <f>SUBTOTAL(9,G13:G63)</f>
        <v>239.36473934766212</v>
      </c>
      <c r="H65" s="106">
        <f>SUBTOTAL(9,H13:H63)</f>
        <v>1316.5060664121418</v>
      </c>
      <c r="I65" s="106">
        <f>SUBTOTAL(9,I13:I63)</f>
        <v>3949.5181992364246</v>
      </c>
      <c r="J65" s="92"/>
    </row>
    <row r="66" spans="3:10" ht="12.75">
      <c r="C66" s="45"/>
      <c r="F66" s="85"/>
      <c r="G66" s="85"/>
      <c r="H66" s="85"/>
      <c r="I66" s="85"/>
      <c r="J66" s="92"/>
    </row>
    <row r="67" spans="1:10" ht="15.75">
      <c r="A67" s="96" t="s">
        <v>394</v>
      </c>
      <c r="B67" s="97"/>
      <c r="C67" s="69" t="s">
        <v>380</v>
      </c>
      <c r="D67" s="64" t="s">
        <v>381</v>
      </c>
      <c r="E67" s="64" t="s">
        <v>345</v>
      </c>
      <c r="F67" s="86" t="s">
        <v>276</v>
      </c>
      <c r="G67" s="86" t="s">
        <v>14</v>
      </c>
      <c r="H67" s="86" t="s">
        <v>12</v>
      </c>
      <c r="I67" s="86" t="s">
        <v>277</v>
      </c>
      <c r="J67" s="92"/>
    </row>
    <row r="68" spans="2:10" ht="15.75" outlineLevel="1">
      <c r="B68" s="96" t="s">
        <v>344</v>
      </c>
      <c r="C68" s="45"/>
      <c r="F68" s="85"/>
      <c r="G68" s="85"/>
      <c r="H68" s="85"/>
      <c r="I68" s="85"/>
      <c r="J68" s="92"/>
    </row>
    <row r="69" spans="2:10" ht="12.75" outlineLevel="2">
      <c r="B69" s="98" t="s">
        <v>395</v>
      </c>
      <c r="C69" s="45"/>
      <c r="F69" s="85"/>
      <c r="G69" s="85"/>
      <c r="H69" s="85"/>
      <c r="I69" s="85"/>
      <c r="J69" s="92"/>
    </row>
    <row r="70" spans="2:10" ht="12.75" outlineLevel="3">
      <c r="B70" s="97"/>
      <c r="C70" s="70">
        <v>6.8925</v>
      </c>
      <c r="D70" s="65" t="s">
        <v>347</v>
      </c>
      <c r="E70" s="65" t="s">
        <v>348</v>
      </c>
      <c r="F70" s="87">
        <v>137.85</v>
      </c>
      <c r="G70" s="87">
        <f>F70*Budget_LaborMU</f>
        <v>41.355</v>
      </c>
      <c r="H70" s="87">
        <f>(F70+G70)*Budget_FeeMU</f>
        <v>89.60249999999999</v>
      </c>
      <c r="I70" s="87">
        <f>SUM(F70:H70)</f>
        <v>268.8075</v>
      </c>
      <c r="J70" s="92"/>
    </row>
    <row r="71" spans="2:10" ht="12.75" outlineLevel="3">
      <c r="B71" s="97"/>
      <c r="C71" s="70">
        <v>11.25</v>
      </c>
      <c r="D71" s="65" t="s">
        <v>347</v>
      </c>
      <c r="E71" s="65" t="s">
        <v>349</v>
      </c>
      <c r="F71" s="87">
        <v>225</v>
      </c>
      <c r="G71" s="87">
        <f>F71*Budget_LaborMU</f>
        <v>67.5</v>
      </c>
      <c r="H71" s="87">
        <f>(F71+G71)*Budget_FeeMU</f>
        <v>146.25</v>
      </c>
      <c r="I71" s="87">
        <f>SUM(F71:H71)</f>
        <v>438.75</v>
      </c>
      <c r="J71" s="92"/>
    </row>
    <row r="72" spans="2:10" ht="12.75" outlineLevel="3">
      <c r="B72" s="97"/>
      <c r="C72" s="70">
        <v>6.24</v>
      </c>
      <c r="D72" s="65" t="s">
        <v>347</v>
      </c>
      <c r="E72" s="65" t="s">
        <v>350</v>
      </c>
      <c r="F72" s="87">
        <v>124.8</v>
      </c>
      <c r="G72" s="87">
        <f>F72*Budget_LaborMU</f>
        <v>37.44</v>
      </c>
      <c r="H72" s="87">
        <f>(F72+G72)*Budget_FeeMU</f>
        <v>81.12</v>
      </c>
      <c r="I72" s="87">
        <f>SUM(F72:H72)</f>
        <v>243.36</v>
      </c>
      <c r="J72" s="92"/>
    </row>
    <row r="73" spans="2:10" ht="12.75" outlineLevel="3">
      <c r="B73" s="97"/>
      <c r="C73" s="70">
        <v>2.4434199999999997</v>
      </c>
      <c r="D73" s="65" t="s">
        <v>347</v>
      </c>
      <c r="E73" s="65" t="s">
        <v>351</v>
      </c>
      <c r="F73" s="87">
        <v>48.868399999999994</v>
      </c>
      <c r="G73" s="87">
        <f>F73*Budget_LaborMU</f>
        <v>14.660519999999998</v>
      </c>
      <c r="H73" s="87">
        <f>(F73+G73)*Budget_FeeMU</f>
        <v>31.764459999999996</v>
      </c>
      <c r="I73" s="87">
        <f>SUM(F73:H73)</f>
        <v>95.29337999999998</v>
      </c>
      <c r="J73" s="92"/>
    </row>
    <row r="74" spans="2:10" ht="12.75" outlineLevel="3">
      <c r="B74" s="97"/>
      <c r="C74" s="70">
        <v>2.882</v>
      </c>
      <c r="D74" s="65" t="s">
        <v>347</v>
      </c>
      <c r="E74" s="65" t="s">
        <v>352</v>
      </c>
      <c r="F74" s="87">
        <v>57.64</v>
      </c>
      <c r="G74" s="87">
        <f>F74*Budget_LaborMU</f>
        <v>17.291999999999998</v>
      </c>
      <c r="H74" s="87">
        <f>(F74+G74)*Budget_FeeMU</f>
        <v>37.466</v>
      </c>
      <c r="I74" s="87">
        <f>SUM(F74:H74)</f>
        <v>112.398</v>
      </c>
      <c r="J74" s="92"/>
    </row>
    <row r="75" spans="2:10" ht="12.75" outlineLevel="3">
      <c r="B75" s="97"/>
      <c r="C75" s="70">
        <v>0.4454</v>
      </c>
      <c r="D75" s="65" t="s">
        <v>347</v>
      </c>
      <c r="E75" s="65" t="s">
        <v>353</v>
      </c>
      <c r="F75" s="87">
        <v>8.908000000000001</v>
      </c>
      <c r="G75" s="87">
        <f>F75*Budget_LaborMU</f>
        <v>2.6724</v>
      </c>
      <c r="H75" s="87">
        <f>(F75+G75)*Budget_FeeMU</f>
        <v>5.7902000000000005</v>
      </c>
      <c r="I75" s="87">
        <f>SUM(F75:H75)</f>
        <v>17.370600000000003</v>
      </c>
      <c r="J75" s="92"/>
    </row>
    <row r="76" spans="2:10" ht="12.75" outlineLevel="3">
      <c r="B76" s="97"/>
      <c r="C76" s="70">
        <v>4.167730125</v>
      </c>
      <c r="D76" s="65" t="s">
        <v>347</v>
      </c>
      <c r="E76" s="65" t="s">
        <v>354</v>
      </c>
      <c r="F76" s="87">
        <v>83.3546025</v>
      </c>
      <c r="G76" s="87">
        <f>F76*Budget_LaborMU</f>
        <v>25.006380749999998</v>
      </c>
      <c r="H76" s="87">
        <f>(F76+G76)*Budget_FeeMU</f>
        <v>54.180491625</v>
      </c>
      <c r="I76" s="87">
        <f>SUM(F76:H76)</f>
        <v>162.541474875</v>
      </c>
      <c r="J76" s="92"/>
    </row>
    <row r="77" spans="2:10" ht="12.75" outlineLevel="2">
      <c r="B77" s="97"/>
      <c r="C77" s="71">
        <f>SUBTOTAL(9,C70:C76)</f>
        <v>34.321050125</v>
      </c>
      <c r="D77" s="66"/>
      <c r="E77" s="66"/>
      <c r="F77" s="88">
        <f>SUBTOTAL(9,F70:F76)</f>
        <v>686.4210025</v>
      </c>
      <c r="G77" s="88">
        <f>SUBTOTAL(9,G70:G76)</f>
        <v>205.92630075</v>
      </c>
      <c r="H77" s="88">
        <f>SUBTOTAL(9,H70:H76)</f>
        <v>446.173651625</v>
      </c>
      <c r="I77" s="88">
        <f>SUBTOTAL(9,I70:I76)</f>
        <v>1338.520954875</v>
      </c>
      <c r="J77" s="92"/>
    </row>
    <row r="78" spans="2:10" ht="12.75" outlineLevel="2">
      <c r="B78" s="98" t="s">
        <v>396</v>
      </c>
      <c r="C78" s="45"/>
      <c r="F78" s="85"/>
      <c r="G78" s="85"/>
      <c r="H78" s="85"/>
      <c r="I78" s="85"/>
      <c r="J78" s="92"/>
    </row>
    <row r="79" spans="2:10" ht="12.75" outlineLevel="3">
      <c r="B79" s="97"/>
      <c r="C79" s="70">
        <v>2.1648333333333336</v>
      </c>
      <c r="D79" s="65" t="s">
        <v>347</v>
      </c>
      <c r="E79" s="65" t="s">
        <v>356</v>
      </c>
      <c r="F79" s="87">
        <v>43.296666666666674</v>
      </c>
      <c r="G79" s="87">
        <f>F79*Budget_LaborMU</f>
        <v>12.989000000000003</v>
      </c>
      <c r="H79" s="87">
        <f>(F79+G79)*Budget_FeeMU</f>
        <v>28.14283333333334</v>
      </c>
      <c r="I79" s="87">
        <f>SUM(F79:H79)</f>
        <v>84.42850000000001</v>
      </c>
      <c r="J79" s="92"/>
    </row>
    <row r="80" spans="2:10" ht="12.75" outlineLevel="3">
      <c r="B80" s="97"/>
      <c r="C80" s="70">
        <v>1.3553333333333333</v>
      </c>
      <c r="D80" s="65" t="s">
        <v>347</v>
      </c>
      <c r="E80" s="65" t="s">
        <v>358</v>
      </c>
      <c r="F80" s="87">
        <v>27.10666666666667</v>
      </c>
      <c r="G80" s="87">
        <f>F80*Budget_LaborMU</f>
        <v>8.132</v>
      </c>
      <c r="H80" s="87">
        <f>(F80+G80)*Budget_FeeMU</f>
        <v>17.619333333333334</v>
      </c>
      <c r="I80" s="87">
        <f>SUM(F80:H80)</f>
        <v>52.858000000000004</v>
      </c>
      <c r="J80" s="92"/>
    </row>
    <row r="81" spans="2:10" ht="12.75" outlineLevel="2">
      <c r="B81" s="97"/>
      <c r="C81" s="71">
        <f>SUBTOTAL(9,C79:C80)</f>
        <v>3.520166666666667</v>
      </c>
      <c r="D81" s="66"/>
      <c r="E81" s="66"/>
      <c r="F81" s="88">
        <f>SUBTOTAL(9,F79:F80)</f>
        <v>70.40333333333334</v>
      </c>
      <c r="G81" s="88">
        <f>SUBTOTAL(9,G79:G80)</f>
        <v>21.121000000000002</v>
      </c>
      <c r="H81" s="88">
        <f>SUBTOTAL(9,H79:H80)</f>
        <v>45.76216666666667</v>
      </c>
      <c r="I81" s="88">
        <f>SUBTOTAL(9,I79:I80)</f>
        <v>137.28650000000002</v>
      </c>
      <c r="J81" s="92"/>
    </row>
    <row r="82" spans="2:10" ht="12.75" outlineLevel="2">
      <c r="B82" s="98" t="s">
        <v>397</v>
      </c>
      <c r="C82" s="45"/>
      <c r="F82" s="85"/>
      <c r="G82" s="85"/>
      <c r="H82" s="85"/>
      <c r="I82" s="85"/>
      <c r="J82" s="92"/>
    </row>
    <row r="83" spans="2:10" ht="12.75" outlineLevel="3">
      <c r="B83" s="97"/>
      <c r="C83" s="70">
        <v>1.2248</v>
      </c>
      <c r="D83" s="65" t="s">
        <v>347</v>
      </c>
      <c r="E83" s="65" t="s">
        <v>362</v>
      </c>
      <c r="F83" s="87">
        <v>24.496000000000002</v>
      </c>
      <c r="G83" s="87">
        <f>F83*Budget_LaborMU</f>
        <v>7.348800000000001</v>
      </c>
      <c r="H83" s="87">
        <f>(F83+G83)*Budget_FeeMU</f>
        <v>15.922400000000001</v>
      </c>
      <c r="I83" s="87">
        <f>SUM(F83:H83)</f>
        <v>47.7672</v>
      </c>
      <c r="J83" s="92"/>
    </row>
    <row r="84" spans="2:10" ht="12.75" outlineLevel="2">
      <c r="B84" s="97"/>
      <c r="C84" s="71">
        <f>SUBTOTAL(9,C83:C83)</f>
        <v>1.2248</v>
      </c>
      <c r="D84" s="66"/>
      <c r="E84" s="66"/>
      <c r="F84" s="88">
        <f>SUBTOTAL(9,F83:F83)</f>
        <v>24.496000000000002</v>
      </c>
      <c r="G84" s="88">
        <f>SUBTOTAL(9,G83:G83)</f>
        <v>7.348800000000001</v>
      </c>
      <c r="H84" s="88">
        <f>SUBTOTAL(9,H83:H83)</f>
        <v>15.922400000000001</v>
      </c>
      <c r="I84" s="88">
        <f>SUBTOTAL(9,I83:I83)</f>
        <v>47.7672</v>
      </c>
      <c r="J84" s="92"/>
    </row>
    <row r="85" spans="2:10" ht="12.75" outlineLevel="2">
      <c r="B85" s="98" t="s">
        <v>398</v>
      </c>
      <c r="C85" s="45"/>
      <c r="F85" s="85"/>
      <c r="G85" s="85"/>
      <c r="H85" s="85"/>
      <c r="I85" s="85"/>
      <c r="J85" s="92"/>
    </row>
    <row r="86" spans="2:10" ht="12.75" outlineLevel="3">
      <c r="B86" s="97"/>
      <c r="C86" s="70">
        <v>11.25</v>
      </c>
      <c r="D86" s="65" t="s">
        <v>347</v>
      </c>
      <c r="E86" s="65" t="s">
        <v>363</v>
      </c>
      <c r="F86" s="87">
        <v>225</v>
      </c>
      <c r="G86" s="87">
        <f>F86*Budget_LaborMU</f>
        <v>67.5</v>
      </c>
      <c r="H86" s="87">
        <f>(F86+G86)*Budget_FeeMU</f>
        <v>146.25</v>
      </c>
      <c r="I86" s="87">
        <f>SUM(F86:H86)</f>
        <v>438.75</v>
      </c>
      <c r="J86" s="92"/>
    </row>
    <row r="87" spans="2:10" ht="13.5" outlineLevel="2" thickBot="1">
      <c r="B87" s="97"/>
      <c r="C87" s="71">
        <f>SUBTOTAL(9,C86:C86)</f>
        <v>11.25</v>
      </c>
      <c r="D87" s="66"/>
      <c r="E87" s="66"/>
      <c r="F87" s="88">
        <f>SUBTOTAL(9,F86:F86)</f>
        <v>225</v>
      </c>
      <c r="G87" s="88">
        <f>SUBTOTAL(9,G86:G86)</f>
        <v>67.5</v>
      </c>
      <c r="H87" s="88">
        <f>SUBTOTAL(9,H86:H86)</f>
        <v>146.25</v>
      </c>
      <c r="I87" s="88">
        <f>SUBTOTAL(9,I86:I86)</f>
        <v>438.75</v>
      </c>
      <c r="J87" s="92"/>
    </row>
    <row r="88" spans="2:10" ht="13.5" outlineLevel="1" thickTop="1">
      <c r="B88" s="97"/>
      <c r="C88" s="83">
        <f>SUBTOTAL(9,C69:C86)</f>
        <v>50.31601679166667</v>
      </c>
      <c r="D88" s="81"/>
      <c r="E88" s="81" t="s">
        <v>364</v>
      </c>
      <c r="F88" s="89">
        <f>SUBTOTAL(9,F69:F86)</f>
        <v>1006.3203358333333</v>
      </c>
      <c r="G88" s="89">
        <f>SUBTOTAL(9,G69:G86)</f>
        <v>301.89610075</v>
      </c>
      <c r="H88" s="89">
        <f>SUBTOTAL(9,H69:H86)</f>
        <v>654.1082182916666</v>
      </c>
      <c r="I88" s="89">
        <f>SUBTOTAL(9,I69:I86)</f>
        <v>1962.3246548749999</v>
      </c>
      <c r="J88" s="92"/>
    </row>
    <row r="89" spans="2:10" ht="15.75" outlineLevel="1">
      <c r="B89" s="96" t="s">
        <v>365</v>
      </c>
      <c r="C89" s="45"/>
      <c r="F89" s="85"/>
      <c r="G89" s="85"/>
      <c r="H89" s="85"/>
      <c r="I89" s="85"/>
      <c r="J89" s="92"/>
    </row>
    <row r="90" spans="2:10" ht="12.75" outlineLevel="2">
      <c r="B90" s="98" t="s">
        <v>399</v>
      </c>
      <c r="C90" s="45"/>
      <c r="F90" s="85"/>
      <c r="G90" s="85"/>
      <c r="H90" s="85"/>
      <c r="I90" s="85"/>
      <c r="J90" s="92"/>
    </row>
    <row r="91" spans="2:10" ht="12.75" outlineLevel="3">
      <c r="B91" s="97"/>
      <c r="C91" s="70">
        <v>7.75</v>
      </c>
      <c r="D91" s="65" t="s">
        <v>347</v>
      </c>
      <c r="E91" s="65" t="s">
        <v>367</v>
      </c>
      <c r="F91" s="87">
        <v>310</v>
      </c>
      <c r="G91" s="87">
        <f>F91*Budget_LaborMU2</f>
        <v>124</v>
      </c>
      <c r="H91" s="87">
        <f>(F91+G91)*Budget_FeeMU</f>
        <v>217</v>
      </c>
      <c r="I91" s="87">
        <f>SUM(F91:H91)</f>
        <v>651</v>
      </c>
      <c r="J91" s="92"/>
    </row>
    <row r="92" spans="2:10" ht="12.75" outlineLevel="3">
      <c r="B92" s="97"/>
      <c r="C92" s="70">
        <v>0.5</v>
      </c>
      <c r="D92" s="65" t="s">
        <v>347</v>
      </c>
      <c r="E92" s="65" t="s">
        <v>368</v>
      </c>
      <c r="F92" s="87">
        <v>20</v>
      </c>
      <c r="G92" s="87">
        <f>F92*Budget_LaborMU2</f>
        <v>8</v>
      </c>
      <c r="H92" s="87">
        <f>(F92+G92)*Budget_FeeMU</f>
        <v>14</v>
      </c>
      <c r="I92" s="87">
        <f>SUM(F92:H92)</f>
        <v>42</v>
      </c>
      <c r="J92" s="92"/>
    </row>
    <row r="93" spans="2:10" ht="12.75" outlineLevel="2">
      <c r="B93" s="97"/>
      <c r="C93" s="71">
        <f>SUBTOTAL(9,C91:C92)</f>
        <v>8.25</v>
      </c>
      <c r="D93" s="66"/>
      <c r="E93" s="66"/>
      <c r="F93" s="88">
        <f>SUBTOTAL(9,F91:F92)</f>
        <v>330</v>
      </c>
      <c r="G93" s="88">
        <f>SUBTOTAL(9,G91:G92)</f>
        <v>132</v>
      </c>
      <c r="H93" s="88">
        <f>SUBTOTAL(9,H91:H92)</f>
        <v>231</v>
      </c>
      <c r="I93" s="88">
        <f>SUBTOTAL(9,I91:I92)</f>
        <v>693</v>
      </c>
      <c r="J93" s="92"/>
    </row>
    <row r="94" spans="2:10" ht="12.75" outlineLevel="2">
      <c r="B94" s="98" t="s">
        <v>400</v>
      </c>
      <c r="C94" s="45"/>
      <c r="F94" s="85"/>
      <c r="G94" s="85"/>
      <c r="H94" s="85"/>
      <c r="I94" s="85"/>
      <c r="J94" s="92"/>
    </row>
    <row r="95" spans="2:10" ht="12.75" outlineLevel="3">
      <c r="B95" s="97"/>
      <c r="C95" s="70">
        <v>1.1166666666666667</v>
      </c>
      <c r="D95" s="65" t="s">
        <v>347</v>
      </c>
      <c r="E95" s="65" t="s">
        <v>370</v>
      </c>
      <c r="F95" s="87">
        <v>44.6667</v>
      </c>
      <c r="G95" s="87">
        <f>F95*Budget_LaborMU2</f>
        <v>17.86668</v>
      </c>
      <c r="H95" s="87">
        <f>(F95+G95)*Budget_FeeMU</f>
        <v>31.266689999999997</v>
      </c>
      <c r="I95" s="87">
        <f>SUM(F95:H95)</f>
        <v>93.80006999999999</v>
      </c>
      <c r="J95" s="92"/>
    </row>
    <row r="96" spans="2:10" ht="12.75" outlineLevel="3">
      <c r="B96" s="97"/>
      <c r="C96" s="70">
        <v>0.375</v>
      </c>
      <c r="D96" s="65" t="s">
        <v>347</v>
      </c>
      <c r="E96" s="65" t="s">
        <v>371</v>
      </c>
      <c r="F96" s="87">
        <v>15</v>
      </c>
      <c r="G96" s="87">
        <f>F96*Budget_LaborMU2</f>
        <v>6</v>
      </c>
      <c r="H96" s="87">
        <f>(F96+G96)*Budget_FeeMU</f>
        <v>10.5</v>
      </c>
      <c r="I96" s="87">
        <f>SUM(F96:H96)</f>
        <v>31.5</v>
      </c>
      <c r="J96" s="92"/>
    </row>
    <row r="97" spans="2:10" ht="13.5" outlineLevel="2" thickBot="1">
      <c r="B97" s="97"/>
      <c r="C97" s="71">
        <f>SUBTOTAL(9,C95:C96)</f>
        <v>1.4916666666666667</v>
      </c>
      <c r="D97" s="66"/>
      <c r="E97" s="66"/>
      <c r="F97" s="88">
        <f>SUBTOTAL(9,F95:F96)</f>
        <v>59.6667</v>
      </c>
      <c r="G97" s="88">
        <f>SUBTOTAL(9,G95:G96)</f>
        <v>23.86668</v>
      </c>
      <c r="H97" s="88">
        <f>SUBTOTAL(9,H95:H96)</f>
        <v>41.76669</v>
      </c>
      <c r="I97" s="88">
        <f>SUBTOTAL(9,I95:I96)</f>
        <v>125.30006999999999</v>
      </c>
      <c r="J97" s="92"/>
    </row>
    <row r="98" spans="2:10" ht="14.25" outlineLevel="1" thickBot="1" thickTop="1">
      <c r="B98" s="97"/>
      <c r="C98" s="83">
        <f>SUBTOTAL(9,C90:C96)</f>
        <v>9.741666666666667</v>
      </c>
      <c r="D98" s="81"/>
      <c r="E98" s="81" t="s">
        <v>376</v>
      </c>
      <c r="F98" s="89">
        <f>SUBTOTAL(9,F90:F96)</f>
        <v>389.6667</v>
      </c>
      <c r="G98" s="89">
        <f>SUBTOTAL(9,G90:G96)</f>
        <v>155.86668</v>
      </c>
      <c r="H98" s="89">
        <f>SUBTOTAL(9,H90:H96)</f>
        <v>272.76669</v>
      </c>
      <c r="I98" s="89">
        <f>SUBTOTAL(9,I90:I96)</f>
        <v>818.30007</v>
      </c>
      <c r="J98" s="92"/>
    </row>
    <row r="99" spans="2:10" ht="16.5" thickTop="1">
      <c r="B99" s="97"/>
      <c r="C99" s="104"/>
      <c r="D99" s="99"/>
      <c r="E99" s="99" t="s">
        <v>393</v>
      </c>
      <c r="F99" s="107">
        <f>SUBTOTAL(9,F68:F97)</f>
        <v>1395.9870358333333</v>
      </c>
      <c r="G99" s="107">
        <f>SUBTOTAL(9,G68:G97)</f>
        <v>457.76278075</v>
      </c>
      <c r="H99" s="107">
        <f>SUBTOTAL(9,H68:H97)</f>
        <v>926.8749082916667</v>
      </c>
      <c r="I99" s="107">
        <f>SUBTOTAL(9,I68:I97)</f>
        <v>2780.6247248749996</v>
      </c>
      <c r="J99" s="92"/>
    </row>
    <row r="100" spans="3:10" ht="12.75">
      <c r="C100" s="45"/>
      <c r="F100" s="85"/>
      <c r="G100" s="85"/>
      <c r="H100" s="85"/>
      <c r="I100" s="85"/>
      <c r="J100" s="92"/>
    </row>
    <row r="101" spans="3:10" ht="15.75">
      <c r="C101" s="45"/>
      <c r="E101" s="100" t="s">
        <v>266</v>
      </c>
      <c r="F101" s="108">
        <f>SUBTOTAL(9,F11:F100)</f>
        <v>3789.6344293099546</v>
      </c>
      <c r="G101" s="108">
        <f>SUBTOTAL(9,G11:G100)</f>
        <v>697.1275200976621</v>
      </c>
      <c r="H101" s="108">
        <f>SUBTOTAL(9,H11:H100)</f>
        <v>2243.380974703808</v>
      </c>
      <c r="I101" s="109">
        <f>SUBTOTAL(9,I11:I100)</f>
        <v>6730.142924111426</v>
      </c>
      <c r="J101" s="92"/>
    </row>
    <row r="102" spans="3:10" ht="12.75">
      <c r="C102" s="45"/>
      <c r="F102" s="85"/>
      <c r="G102" s="85"/>
      <c r="H102" s="85"/>
      <c r="I102" s="85"/>
      <c r="J102" s="92"/>
    </row>
    <row r="103" spans="1:10" ht="15.75">
      <c r="A103" s="63" t="s">
        <v>110</v>
      </c>
      <c r="C103" s="45"/>
      <c r="E103" s="58">
        <f>IF(Total_SimpleSell=0,0,I101/Total_SimpleSell)</f>
        <v>0.3256446953114926</v>
      </c>
      <c r="F103" s="85"/>
      <c r="G103" s="85"/>
      <c r="H103" s="85"/>
      <c r="I103" s="110">
        <f>Total_GC*E103</f>
        <v>0</v>
      </c>
      <c r="J103" s="92"/>
    </row>
    <row r="104" spans="3:10" ht="12.75">
      <c r="C104" s="45"/>
      <c r="F104" s="85"/>
      <c r="G104" s="85"/>
      <c r="H104" s="85"/>
      <c r="I104" s="85"/>
      <c r="J104" s="92"/>
    </row>
    <row r="105" spans="1:10" ht="15.75">
      <c r="A105" s="63" t="s">
        <v>10</v>
      </c>
      <c r="C105" s="45"/>
      <c r="F105" s="85"/>
      <c r="G105" s="85"/>
      <c r="H105" s="85"/>
      <c r="I105" s="85"/>
      <c r="J105" s="92"/>
    </row>
    <row r="106" spans="3:10" ht="12.75">
      <c r="C106" s="45"/>
      <c r="E106" t="s">
        <v>261</v>
      </c>
      <c r="F106" s="85">
        <v>450</v>
      </c>
      <c r="G106" s="85">
        <f>F106*Budget_SubContractsMU</f>
        <v>270</v>
      </c>
      <c r="H106" s="85"/>
      <c r="I106" s="85">
        <f>F106+G106</f>
        <v>720</v>
      </c>
      <c r="J106" s="92"/>
    </row>
    <row r="107" spans="3:10" ht="12.75">
      <c r="C107" s="45"/>
      <c r="F107" s="111">
        <f>SUBTOTAL(9,F105:F106)</f>
        <v>450</v>
      </c>
      <c r="G107" s="111">
        <f>SUBTOTAL(9,G105:G106)</f>
        <v>270</v>
      </c>
      <c r="H107" s="111"/>
      <c r="I107" s="111">
        <f>SUBTOTAL(9,I105:I106)</f>
        <v>720</v>
      </c>
      <c r="J107" s="92"/>
    </row>
    <row r="108" spans="3:10" ht="13.5" thickBot="1">
      <c r="C108" s="45"/>
      <c r="F108" s="85"/>
      <c r="G108" s="85"/>
      <c r="H108" s="85"/>
      <c r="I108" s="85"/>
      <c r="J108" s="92"/>
    </row>
    <row r="109" spans="3:10" ht="16.5" thickTop="1">
      <c r="C109" s="45"/>
      <c r="E109" s="101" t="s">
        <v>401</v>
      </c>
      <c r="F109" s="112"/>
      <c r="G109" s="112"/>
      <c r="H109" s="112"/>
      <c r="I109" s="112">
        <f>SUBTOTAL(9,I11:I107)</f>
        <v>7450.142924111426</v>
      </c>
      <c r="J109" s="92"/>
    </row>
    <row r="110" spans="3:9" ht="12.75">
      <c r="C110" s="45"/>
      <c r="F110" s="85"/>
      <c r="G110" s="85"/>
      <c r="H110" s="85"/>
      <c r="I110" s="85"/>
    </row>
    <row r="111" spans="1:10" ht="15.75">
      <c r="A111" s="91" t="s">
        <v>402</v>
      </c>
      <c r="B111" s="92"/>
      <c r="C111" s="102"/>
      <c r="D111" s="92"/>
      <c r="E111" s="92"/>
      <c r="F111" s="105"/>
      <c r="G111" s="105"/>
      <c r="H111" s="105"/>
      <c r="I111" s="105"/>
      <c r="J111" s="92"/>
    </row>
    <row r="112" spans="3:10" ht="12.75">
      <c r="C112" s="45"/>
      <c r="F112" s="85"/>
      <c r="G112" s="85"/>
      <c r="H112" s="85"/>
      <c r="I112" s="85"/>
      <c r="J112" s="92"/>
    </row>
    <row r="113" spans="1:10" ht="15.75">
      <c r="A113" s="93" t="s">
        <v>379</v>
      </c>
      <c r="B113" s="34"/>
      <c r="C113" s="69" t="s">
        <v>380</v>
      </c>
      <c r="D113" s="64" t="s">
        <v>381</v>
      </c>
      <c r="E113" s="64" t="s">
        <v>275</v>
      </c>
      <c r="F113" s="86" t="s">
        <v>276</v>
      </c>
      <c r="G113" s="86" t="s">
        <v>14</v>
      </c>
      <c r="H113" s="86" t="s">
        <v>12</v>
      </c>
      <c r="I113" s="86" t="s">
        <v>277</v>
      </c>
      <c r="J113" s="92"/>
    </row>
    <row r="114" spans="2:10" ht="15.75" outlineLevel="1">
      <c r="B114" s="93" t="s">
        <v>309</v>
      </c>
      <c r="C114" s="45"/>
      <c r="F114" s="85"/>
      <c r="G114" s="85"/>
      <c r="H114" s="85"/>
      <c r="I114" s="85"/>
      <c r="J114" s="92"/>
    </row>
    <row r="115" spans="2:10" ht="12.75" outlineLevel="2">
      <c r="B115" s="94" t="s">
        <v>403</v>
      </c>
      <c r="C115" s="45"/>
      <c r="F115" s="85"/>
      <c r="G115" s="85"/>
      <c r="H115" s="85"/>
      <c r="I115" s="85"/>
      <c r="J115" s="92"/>
    </row>
    <row r="116" spans="2:10" ht="12.75" outlineLevel="3">
      <c r="B116" s="34"/>
      <c r="C116" s="70">
        <v>39</v>
      </c>
      <c r="D116" s="65" t="s">
        <v>280</v>
      </c>
      <c r="E116" s="65" t="s">
        <v>311</v>
      </c>
      <c r="F116" s="87">
        <v>126.75</v>
      </c>
      <c r="G116" s="87">
        <f>F116*Budget_MaterialMU</f>
        <v>12.675</v>
      </c>
      <c r="H116" s="87">
        <f>(F116+G116)*Budget_FeeMU</f>
        <v>69.7125</v>
      </c>
      <c r="I116" s="87">
        <f>SUM(F116:H116)</f>
        <v>209.13750000000002</v>
      </c>
      <c r="J116" s="92"/>
    </row>
    <row r="117" spans="2:10" ht="13.5" outlineLevel="2" thickBot="1">
      <c r="B117" s="34"/>
      <c r="C117" s="71">
        <f>SUBTOTAL(9,C116:C116)</f>
        <v>39</v>
      </c>
      <c r="D117" s="66"/>
      <c r="E117" s="66"/>
      <c r="F117" s="88">
        <f>SUBTOTAL(9,F116:F116)</f>
        <v>126.75</v>
      </c>
      <c r="G117" s="88">
        <f>SUBTOTAL(9,G116:G116)</f>
        <v>12.675</v>
      </c>
      <c r="H117" s="88">
        <f>SUBTOTAL(9,H116:H116)</f>
        <v>69.7125</v>
      </c>
      <c r="I117" s="88">
        <f>SUBTOTAL(9,I116:I116)</f>
        <v>209.13750000000002</v>
      </c>
      <c r="J117" s="92"/>
    </row>
    <row r="118" spans="2:10" ht="13.5" outlineLevel="1" thickTop="1">
      <c r="B118" s="34"/>
      <c r="C118" s="83">
        <f>SUBTOTAL(9,C115:C116)</f>
        <v>39</v>
      </c>
      <c r="D118" s="81"/>
      <c r="E118" s="81" t="s">
        <v>312</v>
      </c>
      <c r="F118" s="89">
        <f>SUBTOTAL(9,F115:F116)</f>
        <v>126.75</v>
      </c>
      <c r="G118" s="89">
        <f>SUBTOTAL(9,G115:G116)</f>
        <v>12.675</v>
      </c>
      <c r="H118" s="89">
        <f>SUBTOTAL(9,H115:H116)</f>
        <v>69.7125</v>
      </c>
      <c r="I118" s="89">
        <f>SUBTOTAL(9,I115:I116)</f>
        <v>209.13750000000002</v>
      </c>
      <c r="J118" s="92"/>
    </row>
    <row r="119" spans="2:10" ht="15.75" outlineLevel="1">
      <c r="B119" s="93" t="s">
        <v>313</v>
      </c>
      <c r="C119" s="45"/>
      <c r="F119" s="85"/>
      <c r="G119" s="85"/>
      <c r="H119" s="85"/>
      <c r="I119" s="85"/>
      <c r="J119" s="92"/>
    </row>
    <row r="120" spans="2:10" ht="12.75" outlineLevel="2">
      <c r="B120" s="94" t="s">
        <v>404</v>
      </c>
      <c r="C120" s="45"/>
      <c r="F120" s="85"/>
      <c r="G120" s="85"/>
      <c r="H120" s="85"/>
      <c r="I120" s="85"/>
      <c r="J120" s="92"/>
    </row>
    <row r="121" spans="2:10" ht="12.75" outlineLevel="3">
      <c r="B121" s="34"/>
      <c r="C121" s="70">
        <v>39</v>
      </c>
      <c r="D121" s="65" t="s">
        <v>280</v>
      </c>
      <c r="E121" s="65" t="s">
        <v>315</v>
      </c>
      <c r="F121" s="87">
        <v>29.25</v>
      </c>
      <c r="G121" s="87">
        <f>F121*Budget_MaterialMU</f>
        <v>2.9250000000000003</v>
      </c>
      <c r="H121" s="87">
        <f>(F121+G121)*Budget_FeeMU</f>
        <v>16.0875</v>
      </c>
      <c r="I121" s="87">
        <f>SUM(F121:H121)</f>
        <v>48.262499999999996</v>
      </c>
      <c r="J121" s="92"/>
    </row>
    <row r="122" spans="2:10" ht="12.75" outlineLevel="2">
      <c r="B122" s="34"/>
      <c r="C122" s="71">
        <f>SUBTOTAL(9,C121:C121)</f>
        <v>39</v>
      </c>
      <c r="D122" s="66"/>
      <c r="E122" s="66"/>
      <c r="F122" s="88">
        <f>SUBTOTAL(9,F121:F121)</f>
        <v>29.25</v>
      </c>
      <c r="G122" s="88">
        <f>SUBTOTAL(9,G121:G121)</f>
        <v>2.9250000000000003</v>
      </c>
      <c r="H122" s="88">
        <f>SUBTOTAL(9,H121:H121)</f>
        <v>16.0875</v>
      </c>
      <c r="I122" s="88">
        <f>SUBTOTAL(9,I121:I121)</f>
        <v>48.262499999999996</v>
      </c>
      <c r="J122" s="92"/>
    </row>
    <row r="123" spans="2:10" ht="12.75" outlineLevel="2">
      <c r="B123" s="94" t="s">
        <v>405</v>
      </c>
      <c r="C123" s="45"/>
      <c r="F123" s="85"/>
      <c r="G123" s="85"/>
      <c r="H123" s="85"/>
      <c r="I123" s="85"/>
      <c r="J123" s="92"/>
    </row>
    <row r="124" spans="2:10" ht="12.75" outlineLevel="3">
      <c r="B124" s="34"/>
      <c r="C124" s="70">
        <v>900</v>
      </c>
      <c r="D124" s="65" t="s">
        <v>280</v>
      </c>
      <c r="E124" s="65" t="s">
        <v>316</v>
      </c>
      <c r="F124" s="87">
        <v>1350</v>
      </c>
      <c r="G124" s="87">
        <f>F124*Budget_MaterialMU</f>
        <v>135</v>
      </c>
      <c r="H124" s="87">
        <f>(F124+G124)*Budget_FeeMU</f>
        <v>742.5</v>
      </c>
      <c r="I124" s="87">
        <f>SUM(F124:H124)</f>
        <v>2227.5</v>
      </c>
      <c r="J124" s="92"/>
    </row>
    <row r="125" spans="2:10" ht="13.5" outlineLevel="2" thickBot="1">
      <c r="B125" s="34"/>
      <c r="C125" s="71">
        <f>SUBTOTAL(9,C124:C124)</f>
        <v>900</v>
      </c>
      <c r="D125" s="66"/>
      <c r="E125" s="66"/>
      <c r="F125" s="88">
        <f>SUBTOTAL(9,F124:F124)</f>
        <v>1350</v>
      </c>
      <c r="G125" s="88">
        <f>SUBTOTAL(9,G124:G124)</f>
        <v>135</v>
      </c>
      <c r="H125" s="88">
        <f>SUBTOTAL(9,H124:H124)</f>
        <v>742.5</v>
      </c>
      <c r="I125" s="88">
        <f>SUBTOTAL(9,I124:I124)</f>
        <v>2227.5</v>
      </c>
      <c r="J125" s="92"/>
    </row>
    <row r="126" spans="2:10" ht="14.25" outlineLevel="1" thickBot="1" thickTop="1">
      <c r="B126" s="34"/>
      <c r="C126" s="83">
        <f>SUBTOTAL(9,C120:C124)</f>
        <v>939</v>
      </c>
      <c r="D126" s="81"/>
      <c r="E126" s="81" t="s">
        <v>317</v>
      </c>
      <c r="F126" s="89">
        <f>SUBTOTAL(9,F120:F124)</f>
        <v>1379.25</v>
      </c>
      <c r="G126" s="89">
        <f>SUBTOTAL(9,G120:G124)</f>
        <v>137.925</v>
      </c>
      <c r="H126" s="89">
        <f>SUBTOTAL(9,H120:H124)</f>
        <v>758.5875</v>
      </c>
      <c r="I126" s="89">
        <f>SUBTOTAL(9,I120:I124)</f>
        <v>2275.7625</v>
      </c>
      <c r="J126" s="92"/>
    </row>
    <row r="127" spans="2:10" ht="16.5" thickTop="1">
      <c r="B127" s="34"/>
      <c r="C127" s="103"/>
      <c r="D127" s="95"/>
      <c r="E127" s="95" t="s">
        <v>393</v>
      </c>
      <c r="F127" s="106">
        <f>SUBTOTAL(9,F114:F125)</f>
        <v>1506</v>
      </c>
      <c r="G127" s="106">
        <f>SUBTOTAL(9,G114:G125)</f>
        <v>150.6</v>
      </c>
      <c r="H127" s="106">
        <f>SUBTOTAL(9,H114:H125)</f>
        <v>828.3</v>
      </c>
      <c r="I127" s="106">
        <f>SUBTOTAL(9,I114:I125)</f>
        <v>2484.9</v>
      </c>
      <c r="J127" s="92"/>
    </row>
    <row r="128" spans="3:10" ht="12.75">
      <c r="C128" s="45"/>
      <c r="F128" s="85"/>
      <c r="G128" s="85"/>
      <c r="H128" s="85"/>
      <c r="I128" s="85"/>
      <c r="J128" s="92"/>
    </row>
    <row r="129" spans="1:10" ht="15.75">
      <c r="A129" s="96" t="s">
        <v>394</v>
      </c>
      <c r="B129" s="97"/>
      <c r="C129" s="69" t="s">
        <v>380</v>
      </c>
      <c r="D129" s="64" t="s">
        <v>381</v>
      </c>
      <c r="E129" s="64" t="s">
        <v>345</v>
      </c>
      <c r="F129" s="86" t="s">
        <v>276</v>
      </c>
      <c r="G129" s="86" t="s">
        <v>14</v>
      </c>
      <c r="H129" s="86" t="s">
        <v>12</v>
      </c>
      <c r="I129" s="86" t="s">
        <v>277</v>
      </c>
      <c r="J129" s="92"/>
    </row>
    <row r="130" spans="2:10" ht="15.75" outlineLevel="1">
      <c r="B130" s="96" t="s">
        <v>344</v>
      </c>
      <c r="C130" s="45"/>
      <c r="F130" s="85"/>
      <c r="G130" s="85"/>
      <c r="H130" s="85"/>
      <c r="I130" s="85"/>
      <c r="J130" s="92"/>
    </row>
    <row r="131" spans="2:10" ht="12.75" outlineLevel="2">
      <c r="B131" s="98" t="s">
        <v>397</v>
      </c>
      <c r="C131" s="45"/>
      <c r="F131" s="85"/>
      <c r="G131" s="85"/>
      <c r="H131" s="85"/>
      <c r="I131" s="85"/>
      <c r="J131" s="92"/>
    </row>
    <row r="132" spans="2:10" ht="12.75" outlineLevel="3">
      <c r="B132" s="97"/>
      <c r="C132" s="70">
        <v>1</v>
      </c>
      <c r="D132" s="65" t="s">
        <v>347</v>
      </c>
      <c r="E132" s="65" t="s">
        <v>360</v>
      </c>
      <c r="F132" s="87">
        <v>20</v>
      </c>
      <c r="G132" s="87">
        <f>F132*Budget_LaborMU</f>
        <v>6</v>
      </c>
      <c r="H132" s="87">
        <f>(F132+G132)*Budget_FeeMU</f>
        <v>13</v>
      </c>
      <c r="I132" s="87">
        <f>SUM(F132:H132)</f>
        <v>39</v>
      </c>
      <c r="J132" s="92"/>
    </row>
    <row r="133" spans="2:10" ht="12.75" outlineLevel="3">
      <c r="B133" s="97"/>
      <c r="C133" s="70">
        <v>0.45</v>
      </c>
      <c r="D133" s="65" t="s">
        <v>347</v>
      </c>
      <c r="E133" s="65" t="s">
        <v>361</v>
      </c>
      <c r="F133" s="87">
        <v>9</v>
      </c>
      <c r="G133" s="87">
        <f>F133*Budget_LaborMU</f>
        <v>2.6999999999999997</v>
      </c>
      <c r="H133" s="87">
        <f>(F133+G133)*Budget_FeeMU</f>
        <v>5.85</v>
      </c>
      <c r="I133" s="87">
        <f>SUM(F133:H133)</f>
        <v>17.549999999999997</v>
      </c>
      <c r="J133" s="92"/>
    </row>
    <row r="134" spans="2:10" ht="12.75" outlineLevel="3">
      <c r="B134" s="97"/>
      <c r="C134" s="70">
        <v>0.3</v>
      </c>
      <c r="D134" s="65" t="s">
        <v>347</v>
      </c>
      <c r="E134" s="65" t="s">
        <v>362</v>
      </c>
      <c r="F134" s="87">
        <v>6</v>
      </c>
      <c r="G134" s="87">
        <f>F134*Budget_LaborMU</f>
        <v>1.7999999999999998</v>
      </c>
      <c r="H134" s="87">
        <f>(F134+G134)*Budget_FeeMU</f>
        <v>3.9</v>
      </c>
      <c r="I134" s="87">
        <f>SUM(F134:H134)</f>
        <v>11.7</v>
      </c>
      <c r="J134" s="92"/>
    </row>
    <row r="135" spans="2:10" ht="13.5" outlineLevel="2" thickBot="1">
      <c r="B135" s="97"/>
      <c r="C135" s="71">
        <f>SUBTOTAL(9,C132:C134)</f>
        <v>1.75</v>
      </c>
      <c r="D135" s="66"/>
      <c r="E135" s="66"/>
      <c r="F135" s="88">
        <f>SUBTOTAL(9,F132:F134)</f>
        <v>35</v>
      </c>
      <c r="G135" s="88">
        <f>SUBTOTAL(9,G132:G134)</f>
        <v>10.5</v>
      </c>
      <c r="H135" s="88">
        <f>SUBTOTAL(9,H132:H134)</f>
        <v>22.75</v>
      </c>
      <c r="I135" s="88">
        <f>SUBTOTAL(9,I132:I134)</f>
        <v>68.25</v>
      </c>
      <c r="J135" s="92"/>
    </row>
    <row r="136" spans="2:10" ht="13.5" outlineLevel="1" thickTop="1">
      <c r="B136" s="97"/>
      <c r="C136" s="83">
        <f>SUBTOTAL(9,C131:C134)</f>
        <v>1.75</v>
      </c>
      <c r="D136" s="81"/>
      <c r="E136" s="81" t="s">
        <v>364</v>
      </c>
      <c r="F136" s="89">
        <f>SUBTOTAL(9,F131:F134)</f>
        <v>35</v>
      </c>
      <c r="G136" s="89">
        <f>SUBTOTAL(9,G131:G134)</f>
        <v>10.5</v>
      </c>
      <c r="H136" s="89">
        <f>SUBTOTAL(9,H131:H134)</f>
        <v>22.75</v>
      </c>
      <c r="I136" s="89">
        <f>SUBTOTAL(9,I131:I134)</f>
        <v>68.25</v>
      </c>
      <c r="J136" s="92"/>
    </row>
    <row r="137" spans="2:10" ht="15.75" outlineLevel="1">
      <c r="B137" s="96" t="s">
        <v>365</v>
      </c>
      <c r="C137" s="45"/>
      <c r="F137" s="85"/>
      <c r="G137" s="85"/>
      <c r="H137" s="85"/>
      <c r="I137" s="85"/>
      <c r="J137" s="92"/>
    </row>
    <row r="138" spans="2:10" ht="12.75" outlineLevel="2">
      <c r="B138" s="98" t="s">
        <v>406</v>
      </c>
      <c r="C138" s="45"/>
      <c r="F138" s="85"/>
      <c r="G138" s="85"/>
      <c r="H138" s="85"/>
      <c r="I138" s="85"/>
      <c r="J138" s="92"/>
    </row>
    <row r="139" spans="2:10" ht="12.75" outlineLevel="3">
      <c r="B139" s="97"/>
      <c r="C139" s="70">
        <v>92</v>
      </c>
      <c r="D139" s="65" t="s">
        <v>347</v>
      </c>
      <c r="E139" s="65" t="s">
        <v>375</v>
      </c>
      <c r="F139" s="87">
        <v>3680</v>
      </c>
      <c r="G139" s="87">
        <f>F139*Budget_LaborMU2</f>
        <v>1472</v>
      </c>
      <c r="H139" s="87">
        <f>(F139+G139)*Budget_FeeMU</f>
        <v>2576</v>
      </c>
      <c r="I139" s="87">
        <f>SUM(F139:H139)</f>
        <v>7728</v>
      </c>
      <c r="J139" s="92"/>
    </row>
    <row r="140" spans="2:10" ht="13.5" outlineLevel="2" thickBot="1">
      <c r="B140" s="97"/>
      <c r="C140" s="71">
        <f>SUBTOTAL(9,C139:C139)</f>
        <v>92</v>
      </c>
      <c r="D140" s="66"/>
      <c r="E140" s="66"/>
      <c r="F140" s="88">
        <f>SUBTOTAL(9,F139:F139)</f>
        <v>3680</v>
      </c>
      <c r="G140" s="88">
        <f>SUBTOTAL(9,G139:G139)</f>
        <v>1472</v>
      </c>
      <c r="H140" s="88">
        <f>SUBTOTAL(9,H139:H139)</f>
        <v>2576</v>
      </c>
      <c r="I140" s="88">
        <f>SUBTOTAL(9,I139:I139)</f>
        <v>7728</v>
      </c>
      <c r="J140" s="92"/>
    </row>
    <row r="141" spans="2:10" ht="14.25" outlineLevel="1" thickBot="1" thickTop="1">
      <c r="B141" s="97"/>
      <c r="C141" s="83">
        <f>SUBTOTAL(9,C138:C139)</f>
        <v>92</v>
      </c>
      <c r="D141" s="81"/>
      <c r="E141" s="81" t="s">
        <v>376</v>
      </c>
      <c r="F141" s="89">
        <f>SUBTOTAL(9,F138:F139)</f>
        <v>3680</v>
      </c>
      <c r="G141" s="89">
        <f>SUBTOTAL(9,G138:G139)</f>
        <v>1472</v>
      </c>
      <c r="H141" s="89">
        <f>SUBTOTAL(9,H138:H139)</f>
        <v>2576</v>
      </c>
      <c r="I141" s="89">
        <f>SUBTOTAL(9,I138:I139)</f>
        <v>7728</v>
      </c>
      <c r="J141" s="92"/>
    </row>
    <row r="142" spans="2:10" ht="16.5" thickTop="1">
      <c r="B142" s="97"/>
      <c r="C142" s="104"/>
      <c r="D142" s="99"/>
      <c r="E142" s="99" t="s">
        <v>393</v>
      </c>
      <c r="F142" s="107">
        <f>SUBTOTAL(9,F130:F140)</f>
        <v>3715</v>
      </c>
      <c r="G142" s="107">
        <f>SUBTOTAL(9,G130:G140)</f>
        <v>1482.5</v>
      </c>
      <c r="H142" s="107">
        <f>SUBTOTAL(9,H130:H140)</f>
        <v>2598.75</v>
      </c>
      <c r="I142" s="107">
        <f>SUBTOTAL(9,I130:I140)</f>
        <v>7796.25</v>
      </c>
      <c r="J142" s="92"/>
    </row>
    <row r="143" spans="3:10" ht="12.75">
      <c r="C143" s="45"/>
      <c r="F143" s="85"/>
      <c r="G143" s="85"/>
      <c r="H143" s="85"/>
      <c r="I143" s="85"/>
      <c r="J143" s="92"/>
    </row>
    <row r="144" spans="3:10" ht="15.75">
      <c r="C144" s="45"/>
      <c r="E144" s="100" t="s">
        <v>266</v>
      </c>
      <c r="F144" s="108">
        <f>SUBTOTAL(9,F112:F143)</f>
        <v>5221</v>
      </c>
      <c r="G144" s="108">
        <f>SUBTOTAL(9,G112:G143)</f>
        <v>1633.1</v>
      </c>
      <c r="H144" s="108">
        <f>SUBTOTAL(9,H112:H143)</f>
        <v>3427.05</v>
      </c>
      <c r="I144" s="109">
        <f>SUBTOTAL(9,I112:I143)</f>
        <v>10281.15</v>
      </c>
      <c r="J144" s="92"/>
    </row>
    <row r="145" spans="3:10" ht="12.75">
      <c r="C145" s="45"/>
      <c r="F145" s="85"/>
      <c r="G145" s="85"/>
      <c r="H145" s="85"/>
      <c r="I145" s="85"/>
      <c r="J145" s="92"/>
    </row>
    <row r="146" spans="1:10" ht="15.75">
      <c r="A146" s="63" t="s">
        <v>110</v>
      </c>
      <c r="C146" s="45"/>
      <c r="E146" s="58">
        <f>IF(Total_SimpleSell=0,0,I144/Total_SimpleSell)</f>
        <v>0.49746372357222796</v>
      </c>
      <c r="F146" s="85"/>
      <c r="G146" s="85"/>
      <c r="H146" s="85"/>
      <c r="I146" s="110">
        <f>Total_GC*E146</f>
        <v>0</v>
      </c>
      <c r="J146" s="92"/>
    </row>
    <row r="147" spans="3:10" ht="12.75">
      <c r="C147" s="45"/>
      <c r="F147" s="85"/>
      <c r="G147" s="85"/>
      <c r="H147" s="85"/>
      <c r="I147" s="85"/>
      <c r="J147" s="92"/>
    </row>
    <row r="148" spans="1:10" ht="15.75">
      <c r="A148" s="63" t="s">
        <v>10</v>
      </c>
      <c r="C148" s="45"/>
      <c r="F148" s="85"/>
      <c r="G148" s="85"/>
      <c r="H148" s="85"/>
      <c r="I148" s="85"/>
      <c r="J148" s="92"/>
    </row>
    <row r="149" spans="3:10" ht="12.75">
      <c r="C149" s="45"/>
      <c r="F149" s="111">
        <f>SUBTOTAL(9,F148:F148)</f>
        <v>0</v>
      </c>
      <c r="G149" s="111">
        <f>SUBTOTAL(9,G148:G148)</f>
        <v>0</v>
      </c>
      <c r="H149" s="111"/>
      <c r="I149" s="111">
        <f>SUBTOTAL(9,I148:I148)</f>
        <v>0</v>
      </c>
      <c r="J149" s="92"/>
    </row>
    <row r="150" spans="3:10" ht="13.5" thickBot="1">
      <c r="C150" s="45"/>
      <c r="F150" s="85"/>
      <c r="G150" s="85"/>
      <c r="H150" s="85"/>
      <c r="I150" s="85"/>
      <c r="J150" s="92"/>
    </row>
    <row r="151" spans="3:10" ht="16.5" thickTop="1">
      <c r="C151" s="45"/>
      <c r="E151" s="101" t="s">
        <v>407</v>
      </c>
      <c r="F151" s="112"/>
      <c r="G151" s="112"/>
      <c r="H151" s="112"/>
      <c r="I151" s="112">
        <f>SUBTOTAL(9,I112:I149)</f>
        <v>10281.15</v>
      </c>
      <c r="J151" s="92"/>
    </row>
    <row r="152" spans="3:9" ht="12.75">
      <c r="C152" s="45"/>
      <c r="F152" s="85"/>
      <c r="G152" s="85"/>
      <c r="H152" s="85"/>
      <c r="I152" s="85"/>
    </row>
    <row r="153" spans="1:10" ht="15.75">
      <c r="A153" s="91" t="s">
        <v>408</v>
      </c>
      <c r="B153" s="92"/>
      <c r="C153" s="102"/>
      <c r="D153" s="92"/>
      <c r="E153" s="92"/>
      <c r="F153" s="105"/>
      <c r="G153" s="105"/>
      <c r="H153" s="105"/>
      <c r="I153" s="105"/>
      <c r="J153" s="92"/>
    </row>
    <row r="154" spans="3:10" ht="12.75">
      <c r="C154" s="45"/>
      <c r="F154" s="85"/>
      <c r="G154" s="85"/>
      <c r="H154" s="85"/>
      <c r="I154" s="85"/>
      <c r="J154" s="92"/>
    </row>
    <row r="155" spans="1:10" ht="15.75">
      <c r="A155" s="93" t="s">
        <v>379</v>
      </c>
      <c r="B155" s="34"/>
      <c r="C155" s="69" t="s">
        <v>380</v>
      </c>
      <c r="D155" s="64" t="s">
        <v>381</v>
      </c>
      <c r="E155" s="64" t="s">
        <v>275</v>
      </c>
      <c r="F155" s="86" t="s">
        <v>276</v>
      </c>
      <c r="G155" s="86" t="s">
        <v>14</v>
      </c>
      <c r="H155" s="86" t="s">
        <v>12</v>
      </c>
      <c r="I155" s="86" t="s">
        <v>277</v>
      </c>
      <c r="J155" s="92"/>
    </row>
    <row r="156" spans="2:10" ht="15.75" outlineLevel="1">
      <c r="B156" s="93" t="s">
        <v>272</v>
      </c>
      <c r="C156" s="45"/>
      <c r="F156" s="85"/>
      <c r="G156" s="85"/>
      <c r="H156" s="85"/>
      <c r="I156" s="85"/>
      <c r="J156" s="92"/>
    </row>
    <row r="157" spans="2:10" ht="12.75" outlineLevel="2">
      <c r="B157" s="94" t="s">
        <v>382</v>
      </c>
      <c r="C157" s="45"/>
      <c r="F157" s="85"/>
      <c r="G157" s="85"/>
      <c r="H157" s="85"/>
      <c r="I157" s="85"/>
      <c r="J157" s="92"/>
    </row>
    <row r="158" spans="2:10" ht="12.75" outlineLevel="3">
      <c r="B158" s="34"/>
      <c r="C158" s="70">
        <v>51</v>
      </c>
      <c r="D158" s="65" t="s">
        <v>280</v>
      </c>
      <c r="E158" s="65" t="s">
        <v>282</v>
      </c>
      <c r="F158" s="87">
        <v>6.12</v>
      </c>
      <c r="G158" s="87">
        <f>F158*Budget_MaterialMU</f>
        <v>0.6120000000000001</v>
      </c>
      <c r="H158" s="87">
        <f>(F158+G158)*Budget_FeeMU</f>
        <v>3.366</v>
      </c>
      <c r="I158" s="87">
        <f>SUM(F158:H158)</f>
        <v>10.098</v>
      </c>
      <c r="J158" s="92"/>
    </row>
    <row r="159" spans="2:10" ht="12.75" outlineLevel="3">
      <c r="B159" s="34"/>
      <c r="C159" s="70">
        <v>36</v>
      </c>
      <c r="D159" s="65" t="s">
        <v>280</v>
      </c>
      <c r="E159" s="65" t="s">
        <v>284</v>
      </c>
      <c r="F159" s="87">
        <v>15.12</v>
      </c>
      <c r="G159" s="87">
        <f>F159*Budget_MaterialMU</f>
        <v>1.512</v>
      </c>
      <c r="H159" s="87">
        <f>(F159+G159)*Budget_FeeMU</f>
        <v>8.315999999999999</v>
      </c>
      <c r="I159" s="87">
        <f>SUM(F159:H159)</f>
        <v>24.947999999999997</v>
      </c>
      <c r="J159" s="92"/>
    </row>
    <row r="160" spans="2:10" ht="12.75" outlineLevel="2">
      <c r="B160" s="34"/>
      <c r="C160" s="71">
        <f>SUBTOTAL(9,C158:C159)</f>
        <v>87</v>
      </c>
      <c r="D160" s="66"/>
      <c r="E160" s="66"/>
      <c r="F160" s="88">
        <f>SUBTOTAL(9,F158:F159)</f>
        <v>21.24</v>
      </c>
      <c r="G160" s="88">
        <f>SUBTOTAL(9,G158:G159)</f>
        <v>2.124</v>
      </c>
      <c r="H160" s="88">
        <f>SUBTOTAL(9,H158:H159)</f>
        <v>11.681999999999999</v>
      </c>
      <c r="I160" s="88">
        <f>SUBTOTAL(9,I158:I159)</f>
        <v>35.046</v>
      </c>
      <c r="J160" s="92"/>
    </row>
    <row r="161" spans="2:10" ht="12.75" outlineLevel="2">
      <c r="B161" s="94" t="s">
        <v>409</v>
      </c>
      <c r="C161" s="45"/>
      <c r="F161" s="85"/>
      <c r="G161" s="85"/>
      <c r="H161" s="85"/>
      <c r="I161" s="85"/>
      <c r="J161" s="92"/>
    </row>
    <row r="162" spans="2:10" ht="12.75" outlineLevel="3">
      <c r="B162" s="34"/>
      <c r="C162" s="70">
        <v>7</v>
      </c>
      <c r="D162" s="65" t="s">
        <v>280</v>
      </c>
      <c r="E162" s="65" t="s">
        <v>287</v>
      </c>
      <c r="F162" s="87">
        <v>4.2</v>
      </c>
      <c r="G162" s="87">
        <f>F162*Budget_MaterialMU</f>
        <v>0.42000000000000004</v>
      </c>
      <c r="H162" s="87">
        <f>(F162+G162)*Budget_FeeMU</f>
        <v>2.31</v>
      </c>
      <c r="I162" s="87">
        <f>SUM(F162:H162)</f>
        <v>6.93</v>
      </c>
      <c r="J162" s="92"/>
    </row>
    <row r="163" spans="2:10" ht="13.5" outlineLevel="2" thickBot="1">
      <c r="B163" s="34"/>
      <c r="C163" s="71">
        <f>SUBTOTAL(9,C162:C162)</f>
        <v>7</v>
      </c>
      <c r="D163" s="66"/>
      <c r="E163" s="66"/>
      <c r="F163" s="88">
        <f>SUBTOTAL(9,F162:F162)</f>
        <v>4.2</v>
      </c>
      <c r="G163" s="88">
        <f>SUBTOTAL(9,G162:G162)</f>
        <v>0.42000000000000004</v>
      </c>
      <c r="H163" s="88">
        <f>SUBTOTAL(9,H162:H162)</f>
        <v>2.31</v>
      </c>
      <c r="I163" s="88">
        <f>SUBTOTAL(9,I162:I162)</f>
        <v>6.93</v>
      </c>
      <c r="J163" s="92"/>
    </row>
    <row r="164" spans="2:10" ht="13.5" outlineLevel="1" thickTop="1">
      <c r="B164" s="34"/>
      <c r="C164" s="83">
        <f>SUBTOTAL(9,C157:C162)</f>
        <v>94</v>
      </c>
      <c r="D164" s="81"/>
      <c r="E164" s="81" t="s">
        <v>288</v>
      </c>
      <c r="F164" s="89">
        <f>SUBTOTAL(9,F157:F162)</f>
        <v>25.439999999999998</v>
      </c>
      <c r="G164" s="89">
        <f>SUBTOTAL(9,G157:G162)</f>
        <v>2.544</v>
      </c>
      <c r="H164" s="89">
        <f>SUBTOTAL(9,H157:H162)</f>
        <v>13.991999999999999</v>
      </c>
      <c r="I164" s="89">
        <f>SUBTOTAL(9,I157:I162)</f>
        <v>41.976</v>
      </c>
      <c r="J164" s="92"/>
    </row>
    <row r="165" spans="2:10" ht="15.75" outlineLevel="1">
      <c r="B165" s="93" t="s">
        <v>289</v>
      </c>
      <c r="C165" s="45"/>
      <c r="F165" s="85"/>
      <c r="G165" s="85"/>
      <c r="H165" s="85"/>
      <c r="I165" s="85"/>
      <c r="J165" s="92"/>
    </row>
    <row r="166" spans="2:10" ht="12.75" outlineLevel="2">
      <c r="B166" s="94" t="s">
        <v>383</v>
      </c>
      <c r="C166" s="45"/>
      <c r="F166" s="85"/>
      <c r="G166" s="85"/>
      <c r="H166" s="85"/>
      <c r="I166" s="85"/>
      <c r="J166" s="92"/>
    </row>
    <row r="167" spans="2:10" ht="12.75" outlineLevel="3">
      <c r="B167" s="34"/>
      <c r="C167" s="70">
        <v>48</v>
      </c>
      <c r="D167" s="65" t="s">
        <v>291</v>
      </c>
      <c r="E167" s="65" t="s">
        <v>292</v>
      </c>
      <c r="F167" s="87">
        <v>0.48</v>
      </c>
      <c r="G167" s="87">
        <f>F167*Budget_MaterialMU</f>
        <v>0.048</v>
      </c>
      <c r="H167" s="87">
        <f>(F167+G167)*Budget_FeeMU</f>
        <v>0.264</v>
      </c>
      <c r="I167" s="87">
        <f>SUM(F167:H167)</f>
        <v>0.792</v>
      </c>
      <c r="J167" s="92"/>
    </row>
    <row r="168" spans="2:10" ht="12.75" outlineLevel="2">
      <c r="B168" s="34"/>
      <c r="C168" s="71">
        <f>SUBTOTAL(9,C167:C167)</f>
        <v>48</v>
      </c>
      <c r="D168" s="66"/>
      <c r="E168" s="66"/>
      <c r="F168" s="88">
        <f>SUBTOTAL(9,F167:F167)</f>
        <v>0.48</v>
      </c>
      <c r="G168" s="88">
        <f>SUBTOTAL(9,G167:G167)</f>
        <v>0.048</v>
      </c>
      <c r="H168" s="88">
        <f>SUBTOTAL(9,H167:H167)</f>
        <v>0.264</v>
      </c>
      <c r="I168" s="88">
        <f>SUBTOTAL(9,I167:I167)</f>
        <v>0.792</v>
      </c>
      <c r="J168" s="92"/>
    </row>
    <row r="169" spans="2:10" ht="12.75" outlineLevel="2">
      <c r="B169" s="94" t="s">
        <v>385</v>
      </c>
      <c r="C169" s="45"/>
      <c r="F169" s="85"/>
      <c r="G169" s="85"/>
      <c r="H169" s="85"/>
      <c r="I169" s="85"/>
      <c r="J169" s="92"/>
    </row>
    <row r="170" spans="2:10" ht="12.75" outlineLevel="3">
      <c r="B170" s="34"/>
      <c r="C170" s="70">
        <v>4</v>
      </c>
      <c r="D170" s="65" t="s">
        <v>291</v>
      </c>
      <c r="E170" s="65" t="s">
        <v>297</v>
      </c>
      <c r="F170" s="87">
        <v>100</v>
      </c>
      <c r="G170" s="87">
        <f>F170*Budget_MaterialMU</f>
        <v>10</v>
      </c>
      <c r="H170" s="87">
        <f>(F170+G170)*Budget_FeeMU</f>
        <v>55</v>
      </c>
      <c r="I170" s="87">
        <f>SUM(F170:H170)</f>
        <v>165</v>
      </c>
      <c r="J170" s="92"/>
    </row>
    <row r="171" spans="2:10" ht="12.75" outlineLevel="2">
      <c r="B171" s="34"/>
      <c r="C171" s="71">
        <f>SUBTOTAL(9,C170:C170)</f>
        <v>4</v>
      </c>
      <c r="D171" s="66"/>
      <c r="E171" s="66"/>
      <c r="F171" s="88">
        <f>SUBTOTAL(9,F170:F170)</f>
        <v>100</v>
      </c>
      <c r="G171" s="88">
        <f>SUBTOTAL(9,G170:G170)</f>
        <v>10</v>
      </c>
      <c r="H171" s="88">
        <f>SUBTOTAL(9,H170:H170)</f>
        <v>55</v>
      </c>
      <c r="I171" s="88">
        <f>SUBTOTAL(9,I170:I170)</f>
        <v>165</v>
      </c>
      <c r="J171" s="92"/>
    </row>
    <row r="172" spans="2:10" ht="12.75" outlineLevel="2">
      <c r="B172" s="94" t="s">
        <v>398</v>
      </c>
      <c r="C172" s="45"/>
      <c r="F172" s="85"/>
      <c r="G172" s="85"/>
      <c r="H172" s="85"/>
      <c r="I172" s="85"/>
      <c r="J172" s="92"/>
    </row>
    <row r="173" spans="2:10" ht="12.75" outlineLevel="3">
      <c r="B173" s="34"/>
      <c r="C173" s="70">
        <v>2</v>
      </c>
      <c r="D173" s="65" t="s">
        <v>291</v>
      </c>
      <c r="E173" s="65" t="s">
        <v>299</v>
      </c>
      <c r="F173" s="87">
        <v>5</v>
      </c>
      <c r="G173" s="87">
        <f>F173*Budget_MaterialMU</f>
        <v>0.5</v>
      </c>
      <c r="H173" s="87">
        <f>(F173+G173)*Budget_FeeMU</f>
        <v>2.75</v>
      </c>
      <c r="I173" s="87">
        <f>SUM(F173:H173)</f>
        <v>8.25</v>
      </c>
      <c r="J173" s="92"/>
    </row>
    <row r="174" spans="2:10" ht="12.75" outlineLevel="2">
      <c r="B174" s="34"/>
      <c r="C174" s="71">
        <f>SUBTOTAL(9,C173:C173)</f>
        <v>2</v>
      </c>
      <c r="D174" s="66"/>
      <c r="E174" s="66"/>
      <c r="F174" s="88">
        <f>SUBTOTAL(9,F173:F173)</f>
        <v>5</v>
      </c>
      <c r="G174" s="88">
        <f>SUBTOTAL(9,G173:G173)</f>
        <v>0.5</v>
      </c>
      <c r="H174" s="88">
        <f>SUBTOTAL(9,H173:H173)</f>
        <v>2.75</v>
      </c>
      <c r="I174" s="88">
        <f>SUBTOTAL(9,I173:I173)</f>
        <v>8.25</v>
      </c>
      <c r="J174" s="92"/>
    </row>
    <row r="175" spans="2:10" ht="12.75" outlineLevel="2">
      <c r="B175" s="94" t="s">
        <v>386</v>
      </c>
      <c r="C175" s="45"/>
      <c r="F175" s="85"/>
      <c r="G175" s="85"/>
      <c r="H175" s="85"/>
      <c r="I175" s="85"/>
      <c r="J175" s="92"/>
    </row>
    <row r="176" spans="2:10" ht="12.75" outlineLevel="3">
      <c r="B176" s="34"/>
      <c r="C176" s="70">
        <v>4</v>
      </c>
      <c r="D176" s="65" t="s">
        <v>291</v>
      </c>
      <c r="E176" s="65" t="s">
        <v>301</v>
      </c>
      <c r="F176" s="87">
        <v>2.4</v>
      </c>
      <c r="G176" s="87">
        <f>F176*Budget_MaterialMU</f>
        <v>0.24</v>
      </c>
      <c r="H176" s="87">
        <f>(F176+G176)*Budget_FeeMU</f>
        <v>1.3199999999999998</v>
      </c>
      <c r="I176" s="87">
        <f>SUM(F176:H176)</f>
        <v>3.9599999999999995</v>
      </c>
      <c r="J176" s="92"/>
    </row>
    <row r="177" spans="2:10" ht="12.75" outlineLevel="2">
      <c r="B177" s="34"/>
      <c r="C177" s="71">
        <f>SUBTOTAL(9,C176:C176)</f>
        <v>4</v>
      </c>
      <c r="D177" s="66"/>
      <c r="E177" s="66"/>
      <c r="F177" s="88">
        <f>SUBTOTAL(9,F176:F176)</f>
        <v>2.4</v>
      </c>
      <c r="G177" s="88">
        <f>SUBTOTAL(9,G176:G176)</f>
        <v>0.24</v>
      </c>
      <c r="H177" s="88">
        <f>SUBTOTAL(9,H176:H176)</f>
        <v>1.3199999999999998</v>
      </c>
      <c r="I177" s="88">
        <f>SUBTOTAL(9,I176:I176)</f>
        <v>3.9599999999999995</v>
      </c>
      <c r="J177" s="92"/>
    </row>
    <row r="178" spans="2:10" ht="12.75" outlineLevel="2">
      <c r="B178" s="94" t="s">
        <v>388</v>
      </c>
      <c r="C178" s="45"/>
      <c r="F178" s="85"/>
      <c r="G178" s="85"/>
      <c r="H178" s="85"/>
      <c r="I178" s="85"/>
      <c r="J178" s="92"/>
    </row>
    <row r="179" spans="2:10" ht="12.75" outlineLevel="3">
      <c r="B179" s="34"/>
      <c r="C179" s="70">
        <v>4</v>
      </c>
      <c r="D179" s="65" t="s">
        <v>291</v>
      </c>
      <c r="E179" s="65" t="s">
        <v>305</v>
      </c>
      <c r="F179" s="87">
        <v>32</v>
      </c>
      <c r="G179" s="87">
        <f>F179*Budget_MaterialMU</f>
        <v>3.2</v>
      </c>
      <c r="H179" s="87">
        <f>(F179+G179)*Budget_FeeMU</f>
        <v>17.6</v>
      </c>
      <c r="I179" s="87">
        <f>SUM(F179:H179)</f>
        <v>52.800000000000004</v>
      </c>
      <c r="J179" s="92"/>
    </row>
    <row r="180" spans="2:10" ht="12.75" outlineLevel="3">
      <c r="B180" s="34"/>
      <c r="C180" s="70">
        <v>4</v>
      </c>
      <c r="D180" s="65" t="s">
        <v>306</v>
      </c>
      <c r="E180" s="65" t="s">
        <v>307</v>
      </c>
      <c r="F180" s="87">
        <v>12</v>
      </c>
      <c r="G180" s="87">
        <f>F180*Budget_MaterialMU</f>
        <v>1.2000000000000002</v>
      </c>
      <c r="H180" s="87">
        <f>(F180+G180)*Budget_FeeMU</f>
        <v>6.6</v>
      </c>
      <c r="I180" s="87">
        <f>SUM(F180:H180)</f>
        <v>19.799999999999997</v>
      </c>
      <c r="J180" s="92"/>
    </row>
    <row r="181" spans="2:10" ht="13.5" outlineLevel="2" thickBot="1">
      <c r="B181" s="34"/>
      <c r="C181" s="71">
        <f>SUBTOTAL(9,C179:C180)</f>
        <v>8</v>
      </c>
      <c r="D181" s="66"/>
      <c r="E181" s="66"/>
      <c r="F181" s="88">
        <f>SUBTOTAL(9,F179:F180)</f>
        <v>44</v>
      </c>
      <c r="G181" s="88">
        <f>SUBTOTAL(9,G179:G180)</f>
        <v>4.4</v>
      </c>
      <c r="H181" s="88">
        <f>SUBTOTAL(9,H179:H180)</f>
        <v>24.200000000000003</v>
      </c>
      <c r="I181" s="88">
        <f>SUBTOTAL(9,I179:I180)</f>
        <v>72.6</v>
      </c>
      <c r="J181" s="92"/>
    </row>
    <row r="182" spans="2:10" ht="13.5" outlineLevel="1" thickTop="1">
      <c r="B182" s="34"/>
      <c r="C182" s="83">
        <f>SUBTOTAL(9,C166:C180)</f>
        <v>66</v>
      </c>
      <c r="D182" s="81"/>
      <c r="E182" s="81" t="s">
        <v>308</v>
      </c>
      <c r="F182" s="89">
        <f>SUBTOTAL(9,F166:F180)</f>
        <v>151.88</v>
      </c>
      <c r="G182" s="89">
        <f>SUBTOTAL(9,G166:G180)</f>
        <v>15.187999999999999</v>
      </c>
      <c r="H182" s="89">
        <f>SUBTOTAL(9,H166:H180)</f>
        <v>83.53399999999999</v>
      </c>
      <c r="I182" s="89">
        <f>SUBTOTAL(9,I166:I180)</f>
        <v>250.60200000000003</v>
      </c>
      <c r="J182" s="92"/>
    </row>
    <row r="183" spans="2:10" ht="15.75" outlineLevel="1">
      <c r="B183" s="93" t="s">
        <v>318</v>
      </c>
      <c r="C183" s="45"/>
      <c r="F183" s="85"/>
      <c r="G183" s="85"/>
      <c r="H183" s="85"/>
      <c r="I183" s="85"/>
      <c r="J183" s="92"/>
    </row>
    <row r="184" spans="2:10" ht="12.75" outlineLevel="2">
      <c r="B184" s="94" t="s">
        <v>391</v>
      </c>
      <c r="C184" s="45"/>
      <c r="F184" s="85"/>
      <c r="G184" s="85"/>
      <c r="H184" s="85"/>
      <c r="I184" s="85"/>
      <c r="J184" s="92"/>
    </row>
    <row r="185" spans="2:10" ht="12.75" outlineLevel="3">
      <c r="B185" s="34"/>
      <c r="C185" s="70">
        <v>27.11111111111111</v>
      </c>
      <c r="D185" s="65" t="s">
        <v>320</v>
      </c>
      <c r="E185" s="65" t="s">
        <v>328</v>
      </c>
      <c r="F185" s="87">
        <v>8.472222222222221</v>
      </c>
      <c r="G185" s="87">
        <f>F185*Budget_MaterialMU</f>
        <v>0.8472222222222222</v>
      </c>
      <c r="H185" s="87">
        <f>(F185+G185)*Budget_FeeMU</f>
        <v>4.659722222222221</v>
      </c>
      <c r="I185" s="87">
        <f>SUM(F185:H185)</f>
        <v>13.979166666666664</v>
      </c>
      <c r="J185" s="92"/>
    </row>
    <row r="186" spans="2:10" ht="12.75" outlineLevel="3">
      <c r="B186" s="34"/>
      <c r="C186" s="70">
        <v>64.09027777777777</v>
      </c>
      <c r="D186" s="65" t="s">
        <v>320</v>
      </c>
      <c r="E186" s="65" t="s">
        <v>329</v>
      </c>
      <c r="F186" s="87">
        <v>92.12977430555554</v>
      </c>
      <c r="G186" s="87">
        <f>F186*Budget_MaterialMU</f>
        <v>9.212977430555554</v>
      </c>
      <c r="H186" s="87">
        <f>(F186+G186)*Budget_FeeMU</f>
        <v>50.67137586805555</v>
      </c>
      <c r="I186" s="87">
        <f>SUM(F186:H186)</f>
        <v>152.01412760416665</v>
      </c>
      <c r="J186" s="92"/>
    </row>
    <row r="187" spans="2:10" ht="12.75" outlineLevel="3">
      <c r="B187" s="34"/>
      <c r="C187" s="70">
        <v>35</v>
      </c>
      <c r="D187" s="65" t="s">
        <v>320</v>
      </c>
      <c r="E187" s="65" t="s">
        <v>330</v>
      </c>
      <c r="F187" s="87">
        <v>28.4375</v>
      </c>
      <c r="G187" s="87">
        <f>F187*Budget_MaterialMU</f>
        <v>2.84375</v>
      </c>
      <c r="H187" s="87">
        <f>(F187+G187)*Budget_FeeMU</f>
        <v>15.640625</v>
      </c>
      <c r="I187" s="87">
        <f>SUM(F187:H187)</f>
        <v>46.921875</v>
      </c>
      <c r="J187" s="92"/>
    </row>
    <row r="188" spans="2:10" ht="12.75" outlineLevel="2">
      <c r="B188" s="34"/>
      <c r="C188" s="71">
        <f>SUBTOTAL(9,C185:C187)</f>
        <v>126.20138888888889</v>
      </c>
      <c r="D188" s="66"/>
      <c r="E188" s="66"/>
      <c r="F188" s="88">
        <f>SUBTOTAL(9,F185:F187)</f>
        <v>129.03949652777777</v>
      </c>
      <c r="G188" s="88">
        <f>SUBTOTAL(9,G185:G187)</f>
        <v>12.903949652777776</v>
      </c>
      <c r="H188" s="88">
        <f>SUBTOTAL(9,H185:H187)</f>
        <v>70.97172309027778</v>
      </c>
      <c r="I188" s="88">
        <f>SUBTOTAL(9,I185:I187)</f>
        <v>212.9151692708333</v>
      </c>
      <c r="J188" s="92"/>
    </row>
    <row r="189" spans="2:10" ht="12.75" outlineLevel="2">
      <c r="B189" s="94" t="s">
        <v>392</v>
      </c>
      <c r="C189" s="45"/>
      <c r="F189" s="85"/>
      <c r="G189" s="85"/>
      <c r="H189" s="85"/>
      <c r="I189" s="85"/>
      <c r="J189" s="92"/>
    </row>
    <row r="190" spans="2:10" ht="12.75" outlineLevel="3">
      <c r="B190" s="34"/>
      <c r="C190" s="70">
        <v>31.5</v>
      </c>
      <c r="D190" s="65" t="s">
        <v>320</v>
      </c>
      <c r="E190" s="65" t="s">
        <v>332</v>
      </c>
      <c r="F190" s="87">
        <v>57.441176470588246</v>
      </c>
      <c r="G190" s="87">
        <f>F190*Budget_MaterialMU</f>
        <v>5.744117647058825</v>
      </c>
      <c r="H190" s="87">
        <f>(F190+G190)*Budget_FeeMU</f>
        <v>31.592647058823538</v>
      </c>
      <c r="I190" s="87">
        <f>SUM(F190:H190)</f>
        <v>94.77794117647062</v>
      </c>
      <c r="J190" s="92"/>
    </row>
    <row r="191" spans="2:10" ht="12.75" outlineLevel="3">
      <c r="B191" s="34"/>
      <c r="C191" s="70">
        <v>21</v>
      </c>
      <c r="D191" s="65" t="s">
        <v>320</v>
      </c>
      <c r="E191" s="65" t="s">
        <v>333</v>
      </c>
      <c r="F191" s="87">
        <v>34.588235294117645</v>
      </c>
      <c r="G191" s="87">
        <f>F191*Budget_MaterialMU</f>
        <v>3.458823529411765</v>
      </c>
      <c r="H191" s="87">
        <f>(F191+G191)*Budget_FeeMU</f>
        <v>19.023529411764706</v>
      </c>
      <c r="I191" s="87">
        <f>SUM(F191:H191)</f>
        <v>57.07058823529412</v>
      </c>
      <c r="J191" s="92"/>
    </row>
    <row r="192" spans="2:10" ht="12.75" outlineLevel="3">
      <c r="B192" s="34"/>
      <c r="C192" s="70">
        <v>60</v>
      </c>
      <c r="D192" s="65" t="s">
        <v>320</v>
      </c>
      <c r="E192" s="65" t="s">
        <v>334</v>
      </c>
      <c r="F192" s="87">
        <v>109.41176470588236</v>
      </c>
      <c r="G192" s="87">
        <f>F192*Budget_MaterialMU</f>
        <v>10.941176470588237</v>
      </c>
      <c r="H192" s="87">
        <f>(F192+G192)*Budget_FeeMU</f>
        <v>60.1764705882353</v>
      </c>
      <c r="I192" s="87">
        <f>SUM(F192:H192)</f>
        <v>180.52941176470588</v>
      </c>
      <c r="J192" s="92"/>
    </row>
    <row r="193" spans="2:10" ht="12.75" outlineLevel="3">
      <c r="B193" s="34"/>
      <c r="C193" s="70">
        <v>9</v>
      </c>
      <c r="D193" s="65" t="s">
        <v>320</v>
      </c>
      <c r="E193" s="65" t="s">
        <v>335</v>
      </c>
      <c r="F193" s="87">
        <v>18.529411764705884</v>
      </c>
      <c r="G193" s="87">
        <f>F193*Budget_MaterialMU</f>
        <v>1.8529411764705885</v>
      </c>
      <c r="H193" s="87">
        <f>(F193+G193)*Budget_FeeMU</f>
        <v>10.191176470588236</v>
      </c>
      <c r="I193" s="87">
        <f>SUM(F193:H193)</f>
        <v>30.573529411764707</v>
      </c>
      <c r="J193" s="92"/>
    </row>
    <row r="194" spans="2:10" ht="12.75" outlineLevel="3">
      <c r="B194" s="34"/>
      <c r="C194" s="70">
        <v>77.88888888888889</v>
      </c>
      <c r="D194" s="65" t="s">
        <v>320</v>
      </c>
      <c r="E194" s="65" t="s">
        <v>336</v>
      </c>
      <c r="F194" s="87">
        <v>59.56209150326798</v>
      </c>
      <c r="G194" s="87">
        <f>F194*Budget_MaterialMU</f>
        <v>5.956209150326798</v>
      </c>
      <c r="H194" s="87">
        <f>(F194+G194)*Budget_FeeMU</f>
        <v>32.75915032679739</v>
      </c>
      <c r="I194" s="87">
        <f>SUM(F194:H194)</f>
        <v>98.27745098039216</v>
      </c>
      <c r="J194" s="92"/>
    </row>
    <row r="195" spans="2:10" ht="13.5" outlineLevel="2" thickBot="1">
      <c r="B195" s="34"/>
      <c r="C195" s="71">
        <f>SUBTOTAL(9,C190:C194)</f>
        <v>199.38888888888889</v>
      </c>
      <c r="D195" s="66"/>
      <c r="E195" s="66"/>
      <c r="F195" s="88">
        <f>SUBTOTAL(9,F190:F194)</f>
        <v>279.5326797385621</v>
      </c>
      <c r="G195" s="88">
        <f>SUBTOTAL(9,G190:G194)</f>
        <v>27.953267973856214</v>
      </c>
      <c r="H195" s="88">
        <f>SUBTOTAL(9,H190:H194)</f>
        <v>153.74297385620918</v>
      </c>
      <c r="I195" s="88">
        <f>SUBTOTAL(9,I190:I194)</f>
        <v>461.22892156862747</v>
      </c>
      <c r="J195" s="92"/>
    </row>
    <row r="196" spans="2:10" ht="13.5" outlineLevel="1" thickTop="1">
      <c r="B196" s="34"/>
      <c r="C196" s="83">
        <f>SUBTOTAL(9,C184:C194)</f>
        <v>325.59027777777777</v>
      </c>
      <c r="D196" s="81"/>
      <c r="E196" s="81" t="s">
        <v>337</v>
      </c>
      <c r="F196" s="89">
        <f>SUBTOTAL(9,F184:F194)</f>
        <v>408.57217626633985</v>
      </c>
      <c r="G196" s="89">
        <f>SUBTOTAL(9,G184:G194)</f>
        <v>40.85721762663399</v>
      </c>
      <c r="H196" s="89">
        <f>SUBTOTAL(9,H184:H194)</f>
        <v>224.71469694648695</v>
      </c>
      <c r="I196" s="89">
        <f>SUBTOTAL(9,I184:I194)</f>
        <v>674.1440908394608</v>
      </c>
      <c r="J196" s="92"/>
    </row>
    <row r="197" spans="2:10" ht="15.75" outlineLevel="1">
      <c r="B197" s="93" t="s">
        <v>338</v>
      </c>
      <c r="C197" s="45"/>
      <c r="F197" s="85"/>
      <c r="G197" s="85"/>
      <c r="H197" s="85"/>
      <c r="I197" s="85"/>
      <c r="J197" s="92"/>
    </row>
    <row r="198" spans="2:10" ht="12.75" outlineLevel="2">
      <c r="B198" s="94" t="s">
        <v>410</v>
      </c>
      <c r="C198" s="45"/>
      <c r="F198" s="85"/>
      <c r="G198" s="85"/>
      <c r="H198" s="85"/>
      <c r="I198" s="85"/>
      <c r="J198" s="92"/>
    </row>
    <row r="199" spans="2:10" ht="12.75" outlineLevel="3">
      <c r="B199" s="34"/>
      <c r="C199" s="70">
        <v>4</v>
      </c>
      <c r="D199" s="65" t="s">
        <v>291</v>
      </c>
      <c r="E199" s="65" t="s">
        <v>340</v>
      </c>
      <c r="F199" s="87">
        <v>1000</v>
      </c>
      <c r="G199" s="87">
        <f>F199*Budget_MaterialMU2</f>
        <v>200</v>
      </c>
      <c r="H199" s="87">
        <f>(F199+G199)*Budget_FeeMU</f>
        <v>600</v>
      </c>
      <c r="I199" s="87">
        <f>SUM(F199:H199)</f>
        <v>1800</v>
      </c>
      <c r="J199" s="92"/>
    </row>
    <row r="200" spans="2:10" ht="13.5" outlineLevel="2" thickBot="1">
      <c r="B200" s="34"/>
      <c r="C200" s="71">
        <f>SUBTOTAL(9,C199:C199)</f>
        <v>4</v>
      </c>
      <c r="D200" s="66"/>
      <c r="E200" s="66"/>
      <c r="F200" s="88">
        <f>SUBTOTAL(9,F199:F199)</f>
        <v>1000</v>
      </c>
      <c r="G200" s="88">
        <f>SUBTOTAL(9,G199:G199)</f>
        <v>200</v>
      </c>
      <c r="H200" s="88">
        <f>SUBTOTAL(9,H199:H199)</f>
        <v>600</v>
      </c>
      <c r="I200" s="88">
        <f>SUBTOTAL(9,I199:I199)</f>
        <v>1800</v>
      </c>
      <c r="J200" s="92"/>
    </row>
    <row r="201" spans="2:10" ht="14.25" outlineLevel="1" thickBot="1" thickTop="1">
      <c r="B201" s="34"/>
      <c r="C201" s="83">
        <f>SUBTOTAL(9,C198:C199)</f>
        <v>4</v>
      </c>
      <c r="D201" s="81"/>
      <c r="E201" s="81" t="s">
        <v>341</v>
      </c>
      <c r="F201" s="89">
        <f>SUBTOTAL(9,F198:F199)</f>
        <v>1000</v>
      </c>
      <c r="G201" s="89">
        <f>SUBTOTAL(9,G198:G199)</f>
        <v>200</v>
      </c>
      <c r="H201" s="89">
        <f>SUBTOTAL(9,H198:H199)</f>
        <v>600</v>
      </c>
      <c r="I201" s="89">
        <f>SUBTOTAL(9,I198:I199)</f>
        <v>1800</v>
      </c>
      <c r="J201" s="92"/>
    </row>
    <row r="202" spans="2:10" ht="16.5" thickTop="1">
      <c r="B202" s="34"/>
      <c r="C202" s="103"/>
      <c r="D202" s="95"/>
      <c r="E202" s="95" t="s">
        <v>393</v>
      </c>
      <c r="F202" s="106">
        <f>SUBTOTAL(9,F156:F200)</f>
        <v>1585.89217626634</v>
      </c>
      <c r="G202" s="106">
        <f>SUBTOTAL(9,G156:G200)</f>
        <v>258.58921762663397</v>
      </c>
      <c r="H202" s="106">
        <f>SUBTOTAL(9,H156:H200)</f>
        <v>922.2406969464869</v>
      </c>
      <c r="I202" s="106">
        <f>SUBTOTAL(9,I156:I200)</f>
        <v>2766.722090839461</v>
      </c>
      <c r="J202" s="92"/>
    </row>
    <row r="203" spans="3:10" ht="12.75">
      <c r="C203" s="45"/>
      <c r="F203" s="85"/>
      <c r="G203" s="85"/>
      <c r="H203" s="85"/>
      <c r="I203" s="85"/>
      <c r="J203" s="92"/>
    </row>
    <row r="204" spans="1:10" ht="15.75">
      <c r="A204" s="96" t="s">
        <v>394</v>
      </c>
      <c r="B204" s="97"/>
      <c r="C204" s="69" t="s">
        <v>380</v>
      </c>
      <c r="D204" s="64" t="s">
        <v>381</v>
      </c>
      <c r="E204" s="64" t="s">
        <v>345</v>
      </c>
      <c r="F204" s="86" t="s">
        <v>276</v>
      </c>
      <c r="G204" s="86" t="s">
        <v>14</v>
      </c>
      <c r="H204" s="86" t="s">
        <v>12</v>
      </c>
      <c r="I204" s="86" t="s">
        <v>277</v>
      </c>
      <c r="J204" s="92"/>
    </row>
    <row r="205" spans="2:10" ht="15.75" outlineLevel="1">
      <c r="B205" s="96" t="s">
        <v>344</v>
      </c>
      <c r="C205" s="45"/>
      <c r="F205" s="85"/>
      <c r="G205" s="85"/>
      <c r="H205" s="85"/>
      <c r="I205" s="85"/>
      <c r="J205" s="92"/>
    </row>
    <row r="206" spans="2:10" ht="12.75" outlineLevel="2">
      <c r="B206" s="98" t="s">
        <v>395</v>
      </c>
      <c r="C206" s="45"/>
      <c r="F206" s="85"/>
      <c r="G206" s="85"/>
      <c r="H206" s="85"/>
      <c r="I206" s="85"/>
      <c r="J206" s="92"/>
    </row>
    <row r="207" spans="2:10" ht="12.75" outlineLevel="3">
      <c r="B207" s="97"/>
      <c r="C207" s="70">
        <v>0.95</v>
      </c>
      <c r="D207" s="65" t="s">
        <v>347</v>
      </c>
      <c r="E207" s="65" t="s">
        <v>348</v>
      </c>
      <c r="F207" s="87">
        <v>19</v>
      </c>
      <c r="G207" s="87">
        <f>F207*Budget_LaborMU</f>
        <v>5.7</v>
      </c>
      <c r="H207" s="87">
        <f>(F207+G207)*Budget_FeeMU</f>
        <v>12.35</v>
      </c>
      <c r="I207" s="87">
        <f>SUM(F207:H207)</f>
        <v>37.05</v>
      </c>
      <c r="J207" s="92"/>
    </row>
    <row r="208" spans="2:10" ht="12.75" outlineLevel="3">
      <c r="B208" s="97"/>
      <c r="C208" s="70">
        <v>1.5</v>
      </c>
      <c r="D208" s="65" t="s">
        <v>347</v>
      </c>
      <c r="E208" s="65" t="s">
        <v>349</v>
      </c>
      <c r="F208" s="87">
        <v>30</v>
      </c>
      <c r="G208" s="87">
        <f>F208*Budget_LaborMU</f>
        <v>9</v>
      </c>
      <c r="H208" s="87">
        <f>(F208+G208)*Budget_FeeMU</f>
        <v>19.5</v>
      </c>
      <c r="I208" s="87">
        <f>SUM(F208:H208)</f>
        <v>58.5</v>
      </c>
      <c r="J208" s="92"/>
    </row>
    <row r="209" spans="2:10" ht="12.75" outlineLevel="3">
      <c r="B209" s="97"/>
      <c r="C209" s="70">
        <v>0.96</v>
      </c>
      <c r="D209" s="65" t="s">
        <v>347</v>
      </c>
      <c r="E209" s="65" t="s">
        <v>350</v>
      </c>
      <c r="F209" s="87">
        <v>19.2</v>
      </c>
      <c r="G209" s="87">
        <f>F209*Budget_LaborMU</f>
        <v>5.76</v>
      </c>
      <c r="H209" s="87">
        <f>(F209+G209)*Budget_FeeMU</f>
        <v>12.48</v>
      </c>
      <c r="I209" s="87">
        <f>SUM(F209:H209)</f>
        <v>37.44</v>
      </c>
      <c r="J209" s="92"/>
    </row>
    <row r="210" spans="2:10" ht="12.75" outlineLevel="3">
      <c r="B210" s="97"/>
      <c r="C210" s="70">
        <v>0.317532</v>
      </c>
      <c r="D210" s="65" t="s">
        <v>347</v>
      </c>
      <c r="E210" s="65" t="s">
        <v>351</v>
      </c>
      <c r="F210" s="87">
        <v>6.35064</v>
      </c>
      <c r="G210" s="87">
        <f>F210*Budget_LaborMU</f>
        <v>1.905192</v>
      </c>
      <c r="H210" s="87">
        <f>(F210+G210)*Budget_FeeMU</f>
        <v>4.127916</v>
      </c>
      <c r="I210" s="87">
        <f>SUM(F210:H210)</f>
        <v>12.383748</v>
      </c>
      <c r="J210" s="92"/>
    </row>
    <row r="211" spans="2:10" ht="12.75" outlineLevel="3">
      <c r="B211" s="97"/>
      <c r="C211" s="70">
        <v>0.3668</v>
      </c>
      <c r="D211" s="65" t="s">
        <v>347</v>
      </c>
      <c r="E211" s="65" t="s">
        <v>352</v>
      </c>
      <c r="F211" s="87">
        <v>7.336</v>
      </c>
      <c r="G211" s="87">
        <f>F211*Budget_LaborMU</f>
        <v>2.2008</v>
      </c>
      <c r="H211" s="87">
        <f>(F211+G211)*Budget_FeeMU</f>
        <v>4.7684</v>
      </c>
      <c r="I211" s="87">
        <f>SUM(F211:H211)</f>
        <v>14.3052</v>
      </c>
      <c r="J211" s="92"/>
    </row>
    <row r="212" spans="2:10" ht="12.75" outlineLevel="3">
      <c r="B212" s="97"/>
      <c r="C212" s="70">
        <v>0.0524</v>
      </c>
      <c r="D212" s="65" t="s">
        <v>347</v>
      </c>
      <c r="E212" s="65" t="s">
        <v>353</v>
      </c>
      <c r="F212" s="87">
        <v>1.048</v>
      </c>
      <c r="G212" s="87">
        <f>F212*Budget_LaborMU</f>
        <v>0.3144</v>
      </c>
      <c r="H212" s="87">
        <f>(F212+G212)*Budget_FeeMU</f>
        <v>0.6812</v>
      </c>
      <c r="I212" s="87">
        <f>SUM(F212:H212)</f>
        <v>2.0436</v>
      </c>
      <c r="J212" s="92"/>
    </row>
    <row r="213" spans="2:10" ht="12.75" outlineLevel="3">
      <c r="B213" s="97"/>
      <c r="C213" s="70">
        <v>1.4856684375</v>
      </c>
      <c r="D213" s="65" t="s">
        <v>347</v>
      </c>
      <c r="E213" s="65" t="s">
        <v>354</v>
      </c>
      <c r="F213" s="87">
        <v>29.71336875</v>
      </c>
      <c r="G213" s="87">
        <f>F213*Budget_LaborMU</f>
        <v>8.914010625</v>
      </c>
      <c r="H213" s="87">
        <f>(F213+G213)*Budget_FeeMU</f>
        <v>19.313689687500002</v>
      </c>
      <c r="I213" s="87">
        <f>SUM(F213:H213)</f>
        <v>57.941069062500006</v>
      </c>
      <c r="J213" s="92"/>
    </row>
    <row r="214" spans="2:10" ht="12.75" outlineLevel="2">
      <c r="B214" s="97"/>
      <c r="C214" s="71">
        <f>SUBTOTAL(9,C207:C213)</f>
        <v>5.6324004375</v>
      </c>
      <c r="D214" s="66"/>
      <c r="E214" s="66"/>
      <c r="F214" s="88">
        <f>SUBTOTAL(9,F207:F213)</f>
        <v>112.64800875</v>
      </c>
      <c r="G214" s="88">
        <f>SUBTOTAL(9,G207:G213)</f>
        <v>33.794402625000004</v>
      </c>
      <c r="H214" s="88">
        <f>SUBTOTAL(9,H207:H213)</f>
        <v>73.2212056875</v>
      </c>
      <c r="I214" s="88">
        <f>SUBTOTAL(9,I207:I213)</f>
        <v>219.6636170625</v>
      </c>
      <c r="J214" s="92"/>
    </row>
    <row r="215" spans="2:10" ht="12.75" outlineLevel="2">
      <c r="B215" s="98" t="s">
        <v>396</v>
      </c>
      <c r="C215" s="45"/>
      <c r="F215" s="85"/>
      <c r="G215" s="85"/>
      <c r="H215" s="85"/>
      <c r="I215" s="85"/>
      <c r="J215" s="92"/>
    </row>
    <row r="216" spans="2:10" ht="12.75" outlineLevel="3">
      <c r="B216" s="97"/>
      <c r="C216" s="70">
        <v>1.8978333333333335</v>
      </c>
      <c r="D216" s="65" t="s">
        <v>347</v>
      </c>
      <c r="E216" s="65" t="s">
        <v>356</v>
      </c>
      <c r="F216" s="87">
        <v>37.95666666666667</v>
      </c>
      <c r="G216" s="87">
        <f>F216*Budget_LaborMU</f>
        <v>11.387</v>
      </c>
      <c r="H216" s="87">
        <f>(F216+G216)*Budget_FeeMU</f>
        <v>24.671833333333336</v>
      </c>
      <c r="I216" s="87">
        <f>SUM(F216:H216)</f>
        <v>74.0155</v>
      </c>
      <c r="J216" s="92"/>
    </row>
    <row r="217" spans="2:10" ht="12.75" outlineLevel="3">
      <c r="B217" s="97"/>
      <c r="C217" s="70">
        <v>0.08</v>
      </c>
      <c r="D217" s="65" t="s">
        <v>347</v>
      </c>
      <c r="E217" s="65" t="s">
        <v>350</v>
      </c>
      <c r="F217" s="87">
        <v>1.6</v>
      </c>
      <c r="G217" s="87">
        <f>F217*Budget_LaborMU</f>
        <v>0.48</v>
      </c>
      <c r="H217" s="87">
        <f>(F217+G217)*Budget_FeeMU</f>
        <v>1.04</v>
      </c>
      <c r="I217" s="87">
        <f>SUM(F217:H217)</f>
        <v>3.12</v>
      </c>
      <c r="J217" s="92"/>
    </row>
    <row r="218" spans="2:10" ht="12.75" outlineLevel="3">
      <c r="B218" s="97"/>
      <c r="C218" s="70">
        <v>0.375</v>
      </c>
      <c r="D218" s="65" t="s">
        <v>347</v>
      </c>
      <c r="E218" s="65" t="s">
        <v>357</v>
      </c>
      <c r="F218" s="87">
        <v>7.5</v>
      </c>
      <c r="G218" s="87">
        <f>F218*Budget_LaborMU</f>
        <v>2.25</v>
      </c>
      <c r="H218" s="87">
        <f>(F218+G218)*Budget_FeeMU</f>
        <v>4.875</v>
      </c>
      <c r="I218" s="87">
        <f>SUM(F218:H218)</f>
        <v>14.625</v>
      </c>
      <c r="J218" s="92"/>
    </row>
    <row r="219" spans="2:10" ht="12.75" outlineLevel="3">
      <c r="B219" s="97"/>
      <c r="C219" s="70">
        <v>0.7296111111111111</v>
      </c>
      <c r="D219" s="65" t="s">
        <v>347</v>
      </c>
      <c r="E219" s="65" t="s">
        <v>358</v>
      </c>
      <c r="F219" s="87">
        <v>14.59222222222222</v>
      </c>
      <c r="G219" s="87">
        <f>F219*Budget_LaborMU</f>
        <v>4.377666666666666</v>
      </c>
      <c r="H219" s="87">
        <f>(F219+G219)*Budget_FeeMU</f>
        <v>9.484944444444444</v>
      </c>
      <c r="I219" s="87">
        <f>SUM(F219:H219)</f>
        <v>28.454833333333333</v>
      </c>
      <c r="J219" s="92"/>
    </row>
    <row r="220" spans="2:10" ht="12.75" outlineLevel="2">
      <c r="B220" s="97"/>
      <c r="C220" s="71">
        <f>SUBTOTAL(9,C216:C219)</f>
        <v>3.082444444444445</v>
      </c>
      <c r="D220" s="66"/>
      <c r="E220" s="66"/>
      <c r="F220" s="88">
        <f>SUBTOTAL(9,F216:F219)</f>
        <v>61.64888888888889</v>
      </c>
      <c r="G220" s="88">
        <f>SUBTOTAL(9,G216:G219)</f>
        <v>18.494666666666667</v>
      </c>
      <c r="H220" s="88">
        <f>SUBTOTAL(9,H216:H219)</f>
        <v>40.07177777777778</v>
      </c>
      <c r="I220" s="88">
        <f>SUBTOTAL(9,I216:I219)</f>
        <v>120.21533333333335</v>
      </c>
      <c r="J220" s="92"/>
    </row>
    <row r="221" spans="2:10" ht="12.75" outlineLevel="2">
      <c r="B221" s="98" t="s">
        <v>397</v>
      </c>
      <c r="C221" s="45"/>
      <c r="F221" s="85"/>
      <c r="G221" s="85"/>
      <c r="H221" s="85"/>
      <c r="I221" s="85"/>
      <c r="J221" s="92"/>
    </row>
    <row r="222" spans="2:10" ht="12.75" outlineLevel="3">
      <c r="B222" s="97"/>
      <c r="C222" s="70">
        <v>2.5</v>
      </c>
      <c r="D222" s="65" t="s">
        <v>347</v>
      </c>
      <c r="E222" s="65" t="s">
        <v>360</v>
      </c>
      <c r="F222" s="87">
        <v>50</v>
      </c>
      <c r="G222" s="87">
        <f>F222*Budget_LaborMU</f>
        <v>15</v>
      </c>
      <c r="H222" s="87">
        <f>(F222+G222)*Budget_FeeMU</f>
        <v>32.5</v>
      </c>
      <c r="I222" s="87">
        <f>SUM(F222:H222)</f>
        <v>97.5</v>
      </c>
      <c r="J222" s="92"/>
    </row>
    <row r="223" spans="2:10" ht="12.75" outlineLevel="3">
      <c r="B223" s="97"/>
      <c r="C223" s="70">
        <v>0.2924</v>
      </c>
      <c r="D223" s="65" t="s">
        <v>347</v>
      </c>
      <c r="E223" s="65" t="s">
        <v>362</v>
      </c>
      <c r="F223" s="87">
        <v>5.848000000000001</v>
      </c>
      <c r="G223" s="87">
        <f>F223*Budget_LaborMU</f>
        <v>1.7544000000000002</v>
      </c>
      <c r="H223" s="87">
        <f>(F223+G223)*Budget_FeeMU</f>
        <v>3.8012000000000006</v>
      </c>
      <c r="I223" s="87">
        <f>SUM(F223:H223)</f>
        <v>11.4036</v>
      </c>
      <c r="J223" s="92"/>
    </row>
    <row r="224" spans="2:10" ht="12.75" outlineLevel="2">
      <c r="B224" s="97"/>
      <c r="C224" s="71">
        <f>SUBTOTAL(9,C222:C223)</f>
        <v>2.7923999999999998</v>
      </c>
      <c r="D224" s="66"/>
      <c r="E224" s="66"/>
      <c r="F224" s="88">
        <f>SUBTOTAL(9,F222:F223)</f>
        <v>55.848</v>
      </c>
      <c r="G224" s="88">
        <f>SUBTOTAL(9,G222:G223)</f>
        <v>16.7544</v>
      </c>
      <c r="H224" s="88">
        <f>SUBTOTAL(9,H222:H223)</f>
        <v>36.3012</v>
      </c>
      <c r="I224" s="88">
        <f>SUBTOTAL(9,I222:I223)</f>
        <v>108.9036</v>
      </c>
      <c r="J224" s="92"/>
    </row>
    <row r="225" spans="2:10" ht="12.75" outlineLevel="2">
      <c r="B225" s="98" t="s">
        <v>398</v>
      </c>
      <c r="C225" s="45"/>
      <c r="F225" s="85"/>
      <c r="G225" s="85"/>
      <c r="H225" s="85"/>
      <c r="I225" s="85"/>
      <c r="J225" s="92"/>
    </row>
    <row r="226" spans="2:10" ht="12.75" outlineLevel="3">
      <c r="B226" s="97"/>
      <c r="C226" s="70">
        <v>1.5625</v>
      </c>
      <c r="D226" s="65" t="s">
        <v>347</v>
      </c>
      <c r="E226" s="65" t="s">
        <v>363</v>
      </c>
      <c r="F226" s="87">
        <v>31.25</v>
      </c>
      <c r="G226" s="87">
        <f>F226*Budget_LaborMU</f>
        <v>9.375</v>
      </c>
      <c r="H226" s="87">
        <f>(F226+G226)*Budget_FeeMU</f>
        <v>20.3125</v>
      </c>
      <c r="I226" s="87">
        <f>SUM(F226:H226)</f>
        <v>60.9375</v>
      </c>
      <c r="J226" s="92"/>
    </row>
    <row r="227" spans="2:10" ht="13.5" outlineLevel="2" thickBot="1">
      <c r="B227" s="97"/>
      <c r="C227" s="71">
        <f>SUBTOTAL(9,C226:C226)</f>
        <v>1.5625</v>
      </c>
      <c r="D227" s="66"/>
      <c r="E227" s="66"/>
      <c r="F227" s="88">
        <f>SUBTOTAL(9,F226:F226)</f>
        <v>31.25</v>
      </c>
      <c r="G227" s="88">
        <f>SUBTOTAL(9,G226:G226)</f>
        <v>9.375</v>
      </c>
      <c r="H227" s="88">
        <f>SUBTOTAL(9,H226:H226)</f>
        <v>20.3125</v>
      </c>
      <c r="I227" s="88">
        <f>SUBTOTAL(9,I226:I226)</f>
        <v>60.9375</v>
      </c>
      <c r="J227" s="92"/>
    </row>
    <row r="228" spans="2:10" ht="13.5" outlineLevel="1" thickTop="1">
      <c r="B228" s="97"/>
      <c r="C228" s="83">
        <f>SUBTOTAL(9,C206:C226)</f>
        <v>13.069744881944446</v>
      </c>
      <c r="D228" s="81"/>
      <c r="E228" s="81" t="s">
        <v>364</v>
      </c>
      <c r="F228" s="89">
        <f>SUBTOTAL(9,F206:F226)</f>
        <v>261.3948976388889</v>
      </c>
      <c r="G228" s="89">
        <f>SUBTOTAL(9,G206:G226)</f>
        <v>78.41846929166667</v>
      </c>
      <c r="H228" s="89">
        <f>SUBTOTAL(9,H206:H226)</f>
        <v>169.90668346527778</v>
      </c>
      <c r="I228" s="89">
        <f>SUBTOTAL(9,I206:I226)</f>
        <v>509.72005039583337</v>
      </c>
      <c r="J228" s="92"/>
    </row>
    <row r="229" spans="2:10" ht="15.75" outlineLevel="1">
      <c r="B229" s="96" t="s">
        <v>365</v>
      </c>
      <c r="C229" s="45"/>
      <c r="F229" s="85"/>
      <c r="G229" s="85"/>
      <c r="H229" s="85"/>
      <c r="I229" s="85"/>
      <c r="J229" s="92"/>
    </row>
    <row r="230" spans="2:10" ht="12.75" outlineLevel="2">
      <c r="B230" s="98" t="s">
        <v>399</v>
      </c>
      <c r="C230" s="45"/>
      <c r="F230" s="85"/>
      <c r="G230" s="85"/>
      <c r="H230" s="85"/>
      <c r="I230" s="85"/>
      <c r="J230" s="92"/>
    </row>
    <row r="231" spans="2:10" ht="12.75" outlineLevel="3">
      <c r="B231" s="97"/>
      <c r="C231" s="70">
        <v>1</v>
      </c>
      <c r="D231" s="65" t="s">
        <v>347</v>
      </c>
      <c r="E231" s="65" t="s">
        <v>367</v>
      </c>
      <c r="F231" s="87">
        <v>40</v>
      </c>
      <c r="G231" s="87">
        <f>F231*Budget_LaborMU2</f>
        <v>16</v>
      </c>
      <c r="H231" s="87">
        <f>(F231+G231)*Budget_FeeMU</f>
        <v>28</v>
      </c>
      <c r="I231" s="87">
        <f>SUM(F231:H231)</f>
        <v>84</v>
      </c>
      <c r="J231" s="92"/>
    </row>
    <row r="232" spans="2:10" ht="12.75" outlineLevel="2">
      <c r="B232" s="97"/>
      <c r="C232" s="71">
        <f>SUBTOTAL(9,C231:C231)</f>
        <v>1</v>
      </c>
      <c r="D232" s="66"/>
      <c r="E232" s="66"/>
      <c r="F232" s="88">
        <f>SUBTOTAL(9,F231:F231)</f>
        <v>40</v>
      </c>
      <c r="G232" s="88">
        <f>SUBTOTAL(9,G231:G231)</f>
        <v>16</v>
      </c>
      <c r="H232" s="88">
        <f>SUBTOTAL(9,H231:H231)</f>
        <v>28</v>
      </c>
      <c r="I232" s="88">
        <f>SUBTOTAL(9,I231:I231)</f>
        <v>84</v>
      </c>
      <c r="J232" s="92"/>
    </row>
    <row r="233" spans="2:10" ht="12.75" outlineLevel="2">
      <c r="B233" s="98" t="s">
        <v>400</v>
      </c>
      <c r="C233" s="45"/>
      <c r="F233" s="85"/>
      <c r="G233" s="85"/>
      <c r="H233" s="85"/>
      <c r="I233" s="85"/>
      <c r="J233" s="92"/>
    </row>
    <row r="234" spans="2:10" ht="12.75" outlineLevel="3">
      <c r="B234" s="97"/>
      <c r="C234" s="70">
        <v>1.0166666666666666</v>
      </c>
      <c r="D234" s="65" t="s">
        <v>347</v>
      </c>
      <c r="E234" s="65" t="s">
        <v>370</v>
      </c>
      <c r="F234" s="87">
        <v>40.6667</v>
      </c>
      <c r="G234" s="87">
        <f>F234*Budget_LaborMU2</f>
        <v>16.26668</v>
      </c>
      <c r="H234" s="87">
        <f>(F234+G234)*Budget_FeeMU</f>
        <v>28.46669</v>
      </c>
      <c r="I234" s="87">
        <f>SUM(F234:H234)</f>
        <v>85.40007</v>
      </c>
      <c r="J234" s="92"/>
    </row>
    <row r="235" spans="2:10" ht="12.75" outlineLevel="2">
      <c r="B235" s="97"/>
      <c r="C235" s="71">
        <f>SUBTOTAL(9,C234:C234)</f>
        <v>1.0166666666666666</v>
      </c>
      <c r="D235" s="66"/>
      <c r="E235" s="66"/>
      <c r="F235" s="88">
        <f>SUBTOTAL(9,F234:F234)</f>
        <v>40.6667</v>
      </c>
      <c r="G235" s="88">
        <f>SUBTOTAL(9,G234:G234)</f>
        <v>16.26668</v>
      </c>
      <c r="H235" s="88">
        <f>SUBTOTAL(9,H234:H234)</f>
        <v>28.46669</v>
      </c>
      <c r="I235" s="88">
        <f>SUBTOTAL(9,I234:I234)</f>
        <v>85.40007</v>
      </c>
      <c r="J235" s="92"/>
    </row>
    <row r="236" spans="2:10" ht="12.75" outlineLevel="2">
      <c r="B236" s="98" t="s">
        <v>411</v>
      </c>
      <c r="C236" s="45"/>
      <c r="F236" s="85"/>
      <c r="G236" s="85"/>
      <c r="H236" s="85"/>
      <c r="I236" s="85"/>
      <c r="J236" s="92"/>
    </row>
    <row r="237" spans="2:10" ht="12.75" outlineLevel="3">
      <c r="B237" s="97"/>
      <c r="C237" s="70">
        <v>2.5</v>
      </c>
      <c r="D237" s="65" t="s">
        <v>347</v>
      </c>
      <c r="E237" s="65" t="s">
        <v>373</v>
      </c>
      <c r="F237" s="87">
        <v>100</v>
      </c>
      <c r="G237" s="87">
        <f>F237*Budget_LaborMU2</f>
        <v>40</v>
      </c>
      <c r="H237" s="87">
        <f>(F237+G237)*Budget_FeeMU</f>
        <v>70</v>
      </c>
      <c r="I237" s="87">
        <f>SUM(F237:H237)</f>
        <v>210</v>
      </c>
      <c r="J237" s="92"/>
    </row>
    <row r="238" spans="2:10" ht="13.5" outlineLevel="2" thickBot="1">
      <c r="B238" s="97"/>
      <c r="C238" s="71">
        <f>SUBTOTAL(9,C237:C237)</f>
        <v>2.5</v>
      </c>
      <c r="D238" s="66"/>
      <c r="E238" s="66"/>
      <c r="F238" s="88">
        <f>SUBTOTAL(9,F237:F237)</f>
        <v>100</v>
      </c>
      <c r="G238" s="88">
        <f>SUBTOTAL(9,G237:G237)</f>
        <v>40</v>
      </c>
      <c r="H238" s="88">
        <f>SUBTOTAL(9,H237:H237)</f>
        <v>70</v>
      </c>
      <c r="I238" s="88">
        <f>SUBTOTAL(9,I237:I237)</f>
        <v>210</v>
      </c>
      <c r="J238" s="92"/>
    </row>
    <row r="239" spans="2:10" ht="14.25" outlineLevel="1" thickBot="1" thickTop="1">
      <c r="B239" s="97"/>
      <c r="C239" s="83">
        <f>SUBTOTAL(9,C230:C237)</f>
        <v>4.516666666666667</v>
      </c>
      <c r="D239" s="81"/>
      <c r="E239" s="81" t="s">
        <v>376</v>
      </c>
      <c r="F239" s="89">
        <f>SUBTOTAL(9,F230:F237)</f>
        <v>180.6667</v>
      </c>
      <c r="G239" s="89">
        <f>SUBTOTAL(9,G230:G237)</f>
        <v>72.26668000000001</v>
      </c>
      <c r="H239" s="89">
        <f>SUBTOTAL(9,H230:H237)</f>
        <v>126.46669</v>
      </c>
      <c r="I239" s="89">
        <f>SUBTOTAL(9,I230:I237)</f>
        <v>379.40007</v>
      </c>
      <c r="J239" s="92"/>
    </row>
    <row r="240" spans="2:10" ht="16.5" thickTop="1">
      <c r="B240" s="97"/>
      <c r="C240" s="104"/>
      <c r="D240" s="99"/>
      <c r="E240" s="99" t="s">
        <v>393</v>
      </c>
      <c r="F240" s="107">
        <f>SUBTOTAL(9,F205:F238)</f>
        <v>442.0615976388889</v>
      </c>
      <c r="G240" s="107">
        <f>SUBTOTAL(9,G205:G238)</f>
        <v>150.68514929166668</v>
      </c>
      <c r="H240" s="107">
        <f>SUBTOTAL(9,H205:H238)</f>
        <v>296.3733734652778</v>
      </c>
      <c r="I240" s="107">
        <f>SUBTOTAL(9,I205:I238)</f>
        <v>889.1201203958334</v>
      </c>
      <c r="J240" s="92"/>
    </row>
    <row r="241" spans="3:10" ht="12.75">
      <c r="C241" s="45"/>
      <c r="F241" s="85"/>
      <c r="G241" s="85"/>
      <c r="H241" s="85"/>
      <c r="I241" s="85"/>
      <c r="J241" s="92"/>
    </row>
    <row r="242" spans="3:10" ht="15.75">
      <c r="C242" s="45"/>
      <c r="E242" s="100" t="s">
        <v>266</v>
      </c>
      <c r="F242" s="108">
        <f>SUBTOTAL(9,F154:F241)</f>
        <v>2027.953773905229</v>
      </c>
      <c r="G242" s="108">
        <f>SUBTOTAL(9,G154:G241)</f>
        <v>409.2743669183006</v>
      </c>
      <c r="H242" s="108">
        <f>SUBTOTAL(9,H154:H241)</f>
        <v>1218.6140704117647</v>
      </c>
      <c r="I242" s="109">
        <f>SUBTOTAL(9,I154:I241)</f>
        <v>3655.8422112352946</v>
      </c>
      <c r="J242" s="92"/>
    </row>
    <row r="243" spans="3:10" ht="12.75">
      <c r="C243" s="45"/>
      <c r="F243" s="85"/>
      <c r="G243" s="85"/>
      <c r="H243" s="85"/>
      <c r="I243" s="85"/>
      <c r="J243" s="92"/>
    </row>
    <row r="244" spans="1:10" ht="15.75">
      <c r="A244" s="63" t="s">
        <v>110</v>
      </c>
      <c r="C244" s="45"/>
      <c r="E244" s="58">
        <f>IF(Total_SimpleSell=0,0,I242/Total_SimpleSell)</f>
        <v>0.17689158111627953</v>
      </c>
      <c r="F244" s="85"/>
      <c r="G244" s="85"/>
      <c r="H244" s="85"/>
      <c r="I244" s="110">
        <f>Total_GC*E244</f>
        <v>0</v>
      </c>
      <c r="J244" s="92"/>
    </row>
    <row r="245" spans="3:10" ht="12.75">
      <c r="C245" s="45"/>
      <c r="F245" s="85"/>
      <c r="G245" s="85"/>
      <c r="H245" s="85"/>
      <c r="I245" s="85"/>
      <c r="J245" s="92"/>
    </row>
    <row r="246" spans="1:10" ht="15.75">
      <c r="A246" s="63" t="s">
        <v>10</v>
      </c>
      <c r="C246" s="45"/>
      <c r="F246" s="85"/>
      <c r="G246" s="85"/>
      <c r="H246" s="85"/>
      <c r="I246" s="85"/>
      <c r="J246" s="92"/>
    </row>
    <row r="247" spans="3:10" ht="12.75">
      <c r="C247" s="45"/>
      <c r="F247" s="111">
        <f>SUBTOTAL(9,F246:F246)</f>
        <v>0</v>
      </c>
      <c r="G247" s="111">
        <f>SUBTOTAL(9,G246:G246)</f>
        <v>0</v>
      </c>
      <c r="H247" s="111"/>
      <c r="I247" s="111">
        <f>SUBTOTAL(9,I246:I246)</f>
        <v>0</v>
      </c>
      <c r="J247" s="92"/>
    </row>
    <row r="248" spans="3:10" ht="13.5" thickBot="1">
      <c r="C248" s="45"/>
      <c r="F248" s="85"/>
      <c r="G248" s="85"/>
      <c r="H248" s="85"/>
      <c r="I248" s="85"/>
      <c r="J248" s="92"/>
    </row>
    <row r="249" spans="3:10" ht="16.5" thickTop="1">
      <c r="C249" s="45"/>
      <c r="E249" s="101" t="s">
        <v>412</v>
      </c>
      <c r="F249" s="112"/>
      <c r="G249" s="112"/>
      <c r="H249" s="112"/>
      <c r="I249" s="112">
        <f>SUBTOTAL(9,I154:I247)</f>
        <v>3655.8422112352946</v>
      </c>
      <c r="J249" s="92"/>
    </row>
    <row r="250" spans="3:9" ht="12.75">
      <c r="C250" s="45"/>
      <c r="F250" s="85"/>
      <c r="G250" s="85"/>
      <c r="H250" s="85"/>
      <c r="I250" s="85"/>
    </row>
    <row r="251" spans="1:9" ht="15.75">
      <c r="A251" s="63" t="s">
        <v>7</v>
      </c>
      <c r="C251" s="45"/>
      <c r="F251" s="85"/>
      <c r="G251" s="85"/>
      <c r="H251" s="85"/>
      <c r="I251" s="85"/>
    </row>
    <row r="252" spans="3:9" ht="12.75">
      <c r="C252" s="45"/>
      <c r="E252" t="s">
        <v>264</v>
      </c>
      <c r="F252" s="85">
        <v>750</v>
      </c>
      <c r="G252" s="85"/>
      <c r="H252" s="85"/>
      <c r="I252" s="85">
        <f>F252+G252</f>
        <v>750</v>
      </c>
    </row>
    <row r="253" spans="3:9" ht="12.75">
      <c r="C253" s="45"/>
      <c r="F253" s="111"/>
      <c r="G253" s="111"/>
      <c r="H253" s="111"/>
      <c r="I253" s="111">
        <f>SUBTOTAL(9,I251:I252)</f>
        <v>750</v>
      </c>
    </row>
    <row r="254" spans="3:9" ht="12.75">
      <c r="C254" s="45"/>
      <c r="F254" s="85"/>
      <c r="G254" s="85"/>
      <c r="H254" s="85"/>
      <c r="I254" s="85"/>
    </row>
    <row r="255" spans="3:9" ht="15.75">
      <c r="C255" s="45"/>
      <c r="E255" s="100" t="s">
        <v>413</v>
      </c>
      <c r="F255" s="108">
        <f>SUBTOTAL(9,F10:F254)</f>
        <v>12238.588203215186</v>
      </c>
      <c r="G255" s="108">
        <f>SUBTOTAL(9,G10:G254)</f>
        <v>3009.501887015963</v>
      </c>
      <c r="H255" s="108">
        <f>SUBTOTAL(9,H10:H254)</f>
        <v>6889.045045115575</v>
      </c>
      <c r="I255" s="109">
        <f>SUBTOTAL(9,I10:I254)</f>
        <v>22137.135135346725</v>
      </c>
    </row>
    <row r="256" spans="3:9" ht="12.75">
      <c r="C256" s="45"/>
      <c r="F256" s="85"/>
      <c r="G256" s="85"/>
      <c r="H256" s="85"/>
      <c r="I256" s="85"/>
    </row>
    <row r="257" spans="3:9" ht="12.75">
      <c r="C257" s="45"/>
      <c r="F257" s="85"/>
      <c r="G257" s="85"/>
      <c r="H257" s="85"/>
      <c r="I257" s="85"/>
    </row>
    <row r="258" spans="3:9" ht="12.75">
      <c r="C258" s="45"/>
      <c r="F258" s="85"/>
      <c r="G258" s="85"/>
      <c r="H258" s="85"/>
      <c r="I258" s="85"/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1"/>
  <headerFooter alignWithMargins="0">
    <oddHeader>&amp;LStarlight Jewellers&amp;CWork Order budget material/labor&amp;R&amp;P/&amp;N</oddHeader>
    <oddFooter>&amp;LCompany&amp;RWednesday, November 5,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54.140625" style="0" bestFit="1" customWidth="1"/>
    <col min="2" max="2" width="8.140625" style="0" bestFit="1" customWidth="1"/>
    <col min="3" max="3" width="12.7109375" style="0" bestFit="1" customWidth="1"/>
    <col min="4" max="4" width="10.57421875" style="0" bestFit="1" customWidth="1"/>
    <col min="5" max="5" width="6.00390625" style="0" bestFit="1" customWidth="1"/>
    <col min="6" max="6" width="15.8515625" style="0" bestFit="1" customWidth="1"/>
    <col min="7" max="7" width="10.8515625" style="0" bestFit="1" customWidth="1"/>
    <col min="8" max="8" width="6.00390625" style="0" bestFit="1" customWidth="1"/>
    <col min="11" max="11" width="10.7109375" style="0" bestFit="1" customWidth="1"/>
    <col min="12" max="12" width="10.57421875" style="0" bestFit="1" customWidth="1"/>
    <col min="13" max="13" width="5.57421875" style="0" bestFit="1" customWidth="1"/>
    <col min="14" max="14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14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10" spans="1:14" ht="15.75">
      <c r="A10" s="63" t="s">
        <v>378</v>
      </c>
      <c r="B10" s="45"/>
      <c r="C10" s="85"/>
      <c r="D10" s="85"/>
      <c r="E10" s="45"/>
      <c r="F10" s="85"/>
      <c r="G10" s="85"/>
      <c r="H10" s="45"/>
      <c r="I10" s="85"/>
      <c r="J10" s="85"/>
      <c r="K10" s="85"/>
      <c r="L10" s="85"/>
      <c r="M10" s="85"/>
      <c r="N10" s="85"/>
    </row>
    <row r="11" spans="2:14" ht="12.75">
      <c r="B11" s="69" t="s">
        <v>204</v>
      </c>
      <c r="C11" s="86" t="s">
        <v>205</v>
      </c>
      <c r="D11" s="86" t="s">
        <v>206</v>
      </c>
      <c r="E11" s="69" t="s">
        <v>207</v>
      </c>
      <c r="F11" s="86" t="s">
        <v>208</v>
      </c>
      <c r="G11" s="86" t="s">
        <v>209</v>
      </c>
      <c r="H11" s="69" t="s">
        <v>210</v>
      </c>
      <c r="I11" s="86" t="s">
        <v>14</v>
      </c>
      <c r="J11" s="86" t="s">
        <v>12</v>
      </c>
      <c r="K11" s="86" t="s">
        <v>211</v>
      </c>
      <c r="L11" s="86" t="s">
        <v>212</v>
      </c>
      <c r="M11" s="86" t="s">
        <v>3</v>
      </c>
      <c r="N11" s="86" t="s">
        <v>213</v>
      </c>
    </row>
    <row r="12" spans="2:14" ht="12.75">
      <c r="B12" s="45">
        <v>1596.2332222222221</v>
      </c>
      <c r="C12" s="85">
        <v>2393.6474000000003</v>
      </c>
      <c r="D12" s="85">
        <v>1006.3205</v>
      </c>
      <c r="E12" s="45">
        <v>50.31601679166666</v>
      </c>
      <c r="F12" s="85">
        <v>0</v>
      </c>
      <c r="G12" s="85">
        <v>389.6667</v>
      </c>
      <c r="H12" s="45">
        <v>9.741666666666667</v>
      </c>
      <c r="I12" s="85">
        <f>C12*BudgetSUM_MaterialMU+D12*BudgetSUM_LaborMU+F12*BudgetSUM_MaterialMU2+G12*BudgetSUM_LaborMU2</f>
        <v>697.12757</v>
      </c>
      <c r="J12" s="85">
        <f>(C12+D12+F12+G12+I12)*BudgetSUM_FeeMU</f>
        <v>2243.381085</v>
      </c>
      <c r="K12" s="85">
        <f>SUM(C12+D12+F12+G12+I12+J12)</f>
        <v>6730.143255</v>
      </c>
      <c r="L12" s="85">
        <f>IF(Total_SimpleSell=0,0,K12/Total_SimpleSell*Total_GC)</f>
        <v>0</v>
      </c>
      <c r="M12" s="85">
        <f>(C12*(BudgetSUM_MaterialMU+1)*BudgetSUM_TaxRateMaterial+D12*(BudgetSUM_LaborMU+1)*BudgetSUM_TaxRateLabor+F12*(BudgetSUM_MaterialMU2+1)*BudgetSUM_TaxRateMaterial2+G12*(BudgetSUM_LaborMU2+1)*BudgetSUM_TaxRateLabor2+J12*BudgetSUM_TaxRateProfit+L12*TaxRateGC)</f>
        <v>0</v>
      </c>
      <c r="N12" s="85">
        <f>SUM(K12+L12+M12)</f>
        <v>6730.143255</v>
      </c>
    </row>
    <row r="13" spans="1:14" ht="12.75">
      <c r="A13" s="113" t="s">
        <v>193</v>
      </c>
      <c r="B13" s="45"/>
      <c r="C13" s="85">
        <v>450</v>
      </c>
      <c r="D13" s="85"/>
      <c r="E13" s="45"/>
      <c r="F13" s="85"/>
      <c r="G13" s="85"/>
      <c r="H13" s="45"/>
      <c r="I13" s="85">
        <f>C13*BudgetSUM_SubContractsMU</f>
        <v>270</v>
      </c>
      <c r="J13" s="85"/>
      <c r="K13" s="85">
        <f>C13+I13</f>
        <v>720</v>
      </c>
      <c r="L13" s="85"/>
      <c r="M13" s="85">
        <f>K13*BudgetSUM_TaxRateBO</f>
        <v>0</v>
      </c>
      <c r="N13" s="85">
        <f>K13+M13</f>
        <v>720</v>
      </c>
    </row>
    <row r="14" spans="1:14" ht="12.75">
      <c r="A14" s="113" t="s">
        <v>277</v>
      </c>
      <c r="B14" s="45"/>
      <c r="C14" s="85"/>
      <c r="D14" s="85"/>
      <c r="E14" s="45"/>
      <c r="F14" s="85"/>
      <c r="G14" s="85"/>
      <c r="H14" s="45"/>
      <c r="I14" s="85"/>
      <c r="J14" s="85"/>
      <c r="K14" s="85"/>
      <c r="L14" s="85"/>
      <c r="M14" s="85"/>
      <c r="N14" s="111">
        <f>N12+N13</f>
        <v>7450.143255</v>
      </c>
    </row>
    <row r="15" spans="2:14" ht="12.75">
      <c r="B15" s="45"/>
      <c r="C15" s="85"/>
      <c r="D15" s="85"/>
      <c r="E15" s="45"/>
      <c r="F15" s="85"/>
      <c r="G15" s="85"/>
      <c r="H15" s="45"/>
      <c r="I15" s="85"/>
      <c r="J15" s="85"/>
      <c r="K15" s="85"/>
      <c r="L15" s="85"/>
      <c r="M15" s="85"/>
      <c r="N15" s="85"/>
    </row>
    <row r="16" spans="1:14" ht="15.75">
      <c r="A16" s="63" t="s">
        <v>402</v>
      </c>
      <c r="B16" s="45"/>
      <c r="C16" s="85"/>
      <c r="D16" s="85"/>
      <c r="E16" s="45"/>
      <c r="F16" s="85"/>
      <c r="G16" s="85"/>
      <c r="H16" s="45"/>
      <c r="I16" s="85"/>
      <c r="J16" s="85"/>
      <c r="K16" s="85"/>
      <c r="L16" s="85"/>
      <c r="M16" s="85"/>
      <c r="N16" s="85"/>
    </row>
    <row r="17" spans="2:14" ht="12.75">
      <c r="B17" s="69" t="s">
        <v>204</v>
      </c>
      <c r="C17" s="86" t="s">
        <v>205</v>
      </c>
      <c r="D17" s="86" t="s">
        <v>206</v>
      </c>
      <c r="E17" s="69" t="s">
        <v>207</v>
      </c>
      <c r="F17" s="86" t="s">
        <v>208</v>
      </c>
      <c r="G17" s="86" t="s">
        <v>209</v>
      </c>
      <c r="H17" s="69" t="s">
        <v>210</v>
      </c>
      <c r="I17" s="86" t="s">
        <v>14</v>
      </c>
      <c r="J17" s="86" t="s">
        <v>12</v>
      </c>
      <c r="K17" s="86" t="s">
        <v>211</v>
      </c>
      <c r="L17" s="86" t="s">
        <v>212</v>
      </c>
      <c r="M17" s="86" t="s">
        <v>3</v>
      </c>
      <c r="N17" s="86" t="s">
        <v>213</v>
      </c>
    </row>
    <row r="18" spans="2:14" ht="12.75">
      <c r="B18" s="45">
        <v>1224.3</v>
      </c>
      <c r="C18" s="85">
        <v>1506</v>
      </c>
      <c r="D18" s="85">
        <v>35</v>
      </c>
      <c r="E18" s="45">
        <v>1.75</v>
      </c>
      <c r="F18" s="85">
        <v>0</v>
      </c>
      <c r="G18" s="85">
        <v>3680</v>
      </c>
      <c r="H18" s="45">
        <v>92</v>
      </c>
      <c r="I18" s="85">
        <f>C18*BudgetSUM_MaterialMU+D18*BudgetSUM_LaborMU+F18*BudgetSUM_MaterialMU2+G18*BudgetSUM_LaborMU2</f>
        <v>1633.1</v>
      </c>
      <c r="J18" s="85">
        <f>(C18+D18+F18+G18+I18)*BudgetSUM_FeeMU</f>
        <v>3427.05</v>
      </c>
      <c r="K18" s="85">
        <f>SUM(C18+D18+F18+G18+I18+J18)</f>
        <v>10281.150000000001</v>
      </c>
      <c r="L18" s="85">
        <f>IF(Total_SimpleSell=0,0,K18/Total_SimpleSell*Total_GC)</f>
        <v>0</v>
      </c>
      <c r="M18" s="85">
        <f>(C18*(BudgetSUM_MaterialMU+1)*BudgetSUM_TaxRateMaterial+D18*(BudgetSUM_LaborMU+1)*BudgetSUM_TaxRateLabor+F18*(BudgetSUM_MaterialMU2+1)*BudgetSUM_TaxRateMaterial2+G18*(BudgetSUM_LaborMU2+1)*BudgetSUM_TaxRateLabor2+J18*BudgetSUM_TaxRateProfit+L18*TaxRateGC)</f>
        <v>0</v>
      </c>
      <c r="N18" s="85">
        <f>SUM(K18+L18+M18)</f>
        <v>10281.150000000001</v>
      </c>
    </row>
    <row r="19" spans="1:14" ht="12.75">
      <c r="A19" s="113" t="s">
        <v>193</v>
      </c>
      <c r="B19" s="45"/>
      <c r="C19" s="85">
        <v>0</v>
      </c>
      <c r="D19" s="85"/>
      <c r="E19" s="45"/>
      <c r="F19" s="85"/>
      <c r="G19" s="85"/>
      <c r="H19" s="45"/>
      <c r="I19" s="85">
        <f>C19*BudgetSUM_SubContractsMU</f>
        <v>0</v>
      </c>
      <c r="J19" s="85"/>
      <c r="K19" s="85">
        <f>C19+I19</f>
        <v>0</v>
      </c>
      <c r="L19" s="85"/>
      <c r="M19" s="85">
        <f>K19*BudgetSUM_TaxRateBO</f>
        <v>0</v>
      </c>
      <c r="N19" s="85">
        <f>K19+M19</f>
        <v>0</v>
      </c>
    </row>
    <row r="20" spans="1:14" ht="12.75">
      <c r="A20" s="113" t="s">
        <v>277</v>
      </c>
      <c r="B20" s="45"/>
      <c r="C20" s="85"/>
      <c r="D20" s="85"/>
      <c r="E20" s="45"/>
      <c r="F20" s="85"/>
      <c r="G20" s="85"/>
      <c r="H20" s="45"/>
      <c r="I20" s="85"/>
      <c r="J20" s="85"/>
      <c r="K20" s="85"/>
      <c r="L20" s="85"/>
      <c r="M20" s="85"/>
      <c r="N20" s="111">
        <f>N18+N19</f>
        <v>10281.150000000001</v>
      </c>
    </row>
    <row r="21" spans="2:14" ht="12.75">
      <c r="B21" s="45"/>
      <c r="C21" s="85"/>
      <c r="D21" s="85"/>
      <c r="E21" s="45"/>
      <c r="F21" s="85"/>
      <c r="G21" s="85"/>
      <c r="H21" s="45"/>
      <c r="I21" s="85"/>
      <c r="J21" s="85"/>
      <c r="K21" s="85"/>
      <c r="L21" s="85"/>
      <c r="M21" s="85"/>
      <c r="N21" s="85"/>
    </row>
    <row r="22" spans="1:14" ht="15.75">
      <c r="A22" s="63" t="s">
        <v>408</v>
      </c>
      <c r="B22" s="45"/>
      <c r="C22" s="85"/>
      <c r="D22" s="85"/>
      <c r="E22" s="45"/>
      <c r="F22" s="85"/>
      <c r="G22" s="85"/>
      <c r="H22" s="45"/>
      <c r="I22" s="85"/>
      <c r="J22" s="85"/>
      <c r="K22" s="85"/>
      <c r="L22" s="85"/>
      <c r="M22" s="85"/>
      <c r="N22" s="85"/>
    </row>
    <row r="23" spans="2:14" ht="12.75">
      <c r="B23" s="69" t="s">
        <v>204</v>
      </c>
      <c r="C23" s="86" t="s">
        <v>205</v>
      </c>
      <c r="D23" s="86" t="s">
        <v>206</v>
      </c>
      <c r="E23" s="69" t="s">
        <v>207</v>
      </c>
      <c r="F23" s="86" t="s">
        <v>208</v>
      </c>
      <c r="G23" s="86" t="s">
        <v>209</v>
      </c>
      <c r="H23" s="69" t="s">
        <v>210</v>
      </c>
      <c r="I23" s="86" t="s">
        <v>14</v>
      </c>
      <c r="J23" s="86" t="s">
        <v>12</v>
      </c>
      <c r="K23" s="86" t="s">
        <v>211</v>
      </c>
      <c r="L23" s="86" t="s">
        <v>212</v>
      </c>
      <c r="M23" s="86" t="s">
        <v>3</v>
      </c>
      <c r="N23" s="86" t="s">
        <v>213</v>
      </c>
    </row>
    <row r="24" spans="2:14" ht="12.75">
      <c r="B24" s="45">
        <v>583.3848472222222</v>
      </c>
      <c r="C24" s="85">
        <v>585.8922</v>
      </c>
      <c r="D24" s="85">
        <v>261.3949</v>
      </c>
      <c r="E24" s="45">
        <v>13.069744881944445</v>
      </c>
      <c r="F24" s="85">
        <v>1000</v>
      </c>
      <c r="G24" s="85">
        <v>180.6667</v>
      </c>
      <c r="H24" s="45">
        <v>4.516666666666667</v>
      </c>
      <c r="I24" s="85">
        <f>C24*BudgetSUM_MaterialMU+D24*BudgetSUM_LaborMU+F24*BudgetSUM_MaterialMU2+G24*BudgetSUM_LaborMU2</f>
        <v>409.27437000000003</v>
      </c>
      <c r="J24" s="85">
        <f>(C24+D24+F24+G24+I24)*BudgetSUM_FeeMU</f>
        <v>1218.614085</v>
      </c>
      <c r="K24" s="85">
        <f>SUM(C24+D24+F24+G24+I24+J24)</f>
        <v>3655.8422549999996</v>
      </c>
      <c r="L24" s="85">
        <f>IF(Total_SimpleSell=0,0,K24/Total_SimpleSell*Total_GC)</f>
        <v>0</v>
      </c>
      <c r="M24" s="85">
        <f>(C24*(BudgetSUM_MaterialMU+1)*BudgetSUM_TaxRateMaterial+D24*(BudgetSUM_LaborMU+1)*BudgetSUM_TaxRateLabor+F24*(BudgetSUM_MaterialMU2+1)*BudgetSUM_TaxRateMaterial2+G24*(BudgetSUM_LaborMU2+1)*BudgetSUM_TaxRateLabor2+J24*BudgetSUM_TaxRateProfit+L24*TaxRateGC)</f>
        <v>0</v>
      </c>
      <c r="N24" s="85">
        <f>SUM(K24+L24+M24)</f>
        <v>3655.8422549999996</v>
      </c>
    </row>
    <row r="25" spans="1:14" ht="12.75">
      <c r="A25" s="113" t="s">
        <v>193</v>
      </c>
      <c r="B25" s="45"/>
      <c r="C25" s="85">
        <v>0</v>
      </c>
      <c r="D25" s="85"/>
      <c r="E25" s="45"/>
      <c r="F25" s="85"/>
      <c r="G25" s="85"/>
      <c r="H25" s="45"/>
      <c r="I25" s="85">
        <f>C25*BudgetSUM_SubContractsMU</f>
        <v>0</v>
      </c>
      <c r="J25" s="85"/>
      <c r="K25" s="85">
        <f>C25+I25</f>
        <v>0</v>
      </c>
      <c r="L25" s="85"/>
      <c r="M25" s="85">
        <f>K25*BudgetSUM_TaxRateBO</f>
        <v>0</v>
      </c>
      <c r="N25" s="85">
        <f>K25+M25</f>
        <v>0</v>
      </c>
    </row>
    <row r="26" spans="1:14" ht="12.75">
      <c r="A26" s="113" t="s">
        <v>277</v>
      </c>
      <c r="B26" s="45"/>
      <c r="C26" s="85"/>
      <c r="D26" s="85"/>
      <c r="E26" s="45"/>
      <c r="F26" s="85"/>
      <c r="G26" s="85"/>
      <c r="H26" s="45"/>
      <c r="I26" s="85"/>
      <c r="J26" s="85"/>
      <c r="K26" s="85"/>
      <c r="L26" s="85"/>
      <c r="M26" s="85"/>
      <c r="N26" s="111">
        <f>N24+N25</f>
        <v>3655.8422549999996</v>
      </c>
    </row>
    <row r="27" spans="2:14" ht="12.75">
      <c r="B27" s="45"/>
      <c r="C27" s="85"/>
      <c r="D27" s="85"/>
      <c r="E27" s="45"/>
      <c r="F27" s="85"/>
      <c r="G27" s="85"/>
      <c r="H27" s="45"/>
      <c r="I27" s="85"/>
      <c r="J27" s="85"/>
      <c r="K27" s="85"/>
      <c r="L27" s="85"/>
      <c r="M27" s="85"/>
      <c r="N27" s="85"/>
    </row>
    <row r="28" spans="2:14" ht="12.75">
      <c r="B28" s="45"/>
      <c r="C28" s="85"/>
      <c r="D28" s="85"/>
      <c r="E28" s="45"/>
      <c r="F28" s="85"/>
      <c r="G28" s="85"/>
      <c r="H28" s="45"/>
      <c r="I28" s="85"/>
      <c r="J28" s="85"/>
      <c r="K28" s="85"/>
      <c r="L28" s="85"/>
      <c r="M28" s="85"/>
      <c r="N28" s="85"/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Jewellers&amp;CWork Order Budget Summary&amp;R&amp;P/&amp;N</oddHeader>
    <oddFooter>&amp;LCompany&amp;RWednesday, November 5, 2014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workbookViewId="0" topLeftCell="A1">
      <selection activeCell="A1" sqref="A1"/>
    </sheetView>
  </sheetViews>
  <sheetFormatPr defaultColWidth="9.140625" defaultRowHeight="12.75" outlineLevelRow="1" outlineLevelCol="1"/>
  <cols>
    <col min="1" max="1" width="28.8515625" style="0" bestFit="1" customWidth="1"/>
    <col min="2" max="2" width="6.8515625" style="0" bestFit="1" customWidth="1"/>
    <col min="3" max="3" width="10.421875" style="0" bestFit="1" customWidth="1"/>
    <col min="4" max="4" width="19.57421875" style="0" bestFit="1" customWidth="1"/>
    <col min="5" max="5" width="12.57421875" style="0" bestFit="1" customWidth="1" outlineLevel="1"/>
    <col min="6" max="6" width="30.28125" style="0" bestFit="1" customWidth="1" outlineLevel="1"/>
    <col min="7" max="7" width="21.140625" style="0" bestFit="1" customWidth="1" outlineLevel="1"/>
    <col min="8" max="8" width="17.7109375" style="0" bestFit="1" customWidth="1" outlineLevel="1"/>
    <col min="9" max="9" width="18.00390625" style="0" bestFit="1" customWidth="1"/>
    <col min="10" max="10" width="8.14062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140625" style="0" bestFit="1" customWidth="1" outlineLevel="1"/>
    <col min="17" max="18" width="9.7109375" style="0" bestFit="1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  <col min="23" max="23" width="28.5742187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414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1:22" ht="12.75">
      <c r="A11" s="55">
        <f>Prod_FeeMU</f>
        <v>0.5</v>
      </c>
      <c r="J11" s="45"/>
      <c r="K11" s="73"/>
      <c r="L11" s="73"/>
      <c r="M11" s="45"/>
      <c r="N11" s="73"/>
      <c r="O11" s="73"/>
      <c r="P11" s="45"/>
      <c r="Q11" s="73"/>
      <c r="R11" s="73"/>
      <c r="S11" s="73"/>
      <c r="T11" s="73"/>
      <c r="U11" s="73"/>
      <c r="V11" s="73"/>
    </row>
    <row r="12" spans="2:22" ht="12.75">
      <c r="B12" s="64" t="s">
        <v>196</v>
      </c>
      <c r="C12" s="64" t="s">
        <v>197</v>
      </c>
      <c r="D12" s="64" t="s">
        <v>415</v>
      </c>
      <c r="E12" s="64" t="s">
        <v>199</v>
      </c>
      <c r="F12" s="64" t="s">
        <v>200</v>
      </c>
      <c r="G12" s="64" t="s">
        <v>201</v>
      </c>
      <c r="H12" s="64" t="s">
        <v>202</v>
      </c>
      <c r="I12" s="64" t="s">
        <v>203</v>
      </c>
      <c r="J12" s="69" t="s">
        <v>204</v>
      </c>
      <c r="K12" s="74" t="s">
        <v>205</v>
      </c>
      <c r="L12" s="74" t="s">
        <v>206</v>
      </c>
      <c r="M12" s="69" t="s">
        <v>207</v>
      </c>
      <c r="N12" s="74" t="s">
        <v>208</v>
      </c>
      <c r="O12" s="74" t="s">
        <v>209</v>
      </c>
      <c r="P12" s="69" t="s">
        <v>210</v>
      </c>
      <c r="Q12" s="74" t="s">
        <v>14</v>
      </c>
      <c r="R12" s="74" t="s">
        <v>12</v>
      </c>
      <c r="S12" s="74" t="s">
        <v>211</v>
      </c>
      <c r="T12" s="74" t="s">
        <v>212</v>
      </c>
      <c r="U12" s="74" t="s">
        <v>3</v>
      </c>
      <c r="V12" s="74" t="s">
        <v>213</v>
      </c>
    </row>
    <row r="13" spans="2:22" ht="12.75" outlineLevel="1">
      <c r="B13" s="65">
        <v>21</v>
      </c>
      <c r="C13" s="65">
        <v>1</v>
      </c>
      <c r="D13" s="65" t="s">
        <v>246</v>
      </c>
      <c r="E13" s="65" t="s">
        <v>251</v>
      </c>
      <c r="F13" s="65" t="s">
        <v>249</v>
      </c>
      <c r="G13" s="65"/>
      <c r="H13" s="65" t="s">
        <v>217</v>
      </c>
      <c r="I13" s="65" t="s">
        <v>223</v>
      </c>
      <c r="J13" s="70">
        <v>125.02166666666665</v>
      </c>
      <c r="K13" s="75">
        <v>93.7301</v>
      </c>
      <c r="L13" s="75">
        <v>67.6703</v>
      </c>
      <c r="M13" s="70">
        <v>3.3835166250000013</v>
      </c>
      <c r="N13" s="75">
        <v>0</v>
      </c>
      <c r="O13" s="75">
        <v>20</v>
      </c>
      <c r="P13" s="70">
        <v>0.5</v>
      </c>
      <c r="Q13" s="75">
        <f>K13*Prod_MaterialMU+L13*Prod_LaborMU+N13*Prod_MaterialMU2+O13*Prod_LaborMU2</f>
        <v>37.674099999999996</v>
      </c>
      <c r="R13" s="75">
        <f>(K13+L13+N13+O13+Q13)*A$11</f>
        <v>109.53725</v>
      </c>
      <c r="S13" s="75">
        <f>SUM(K13+L13+N13+O13+Q13+R13)</f>
        <v>328.61175000000003</v>
      </c>
      <c r="T13" s="75">
        <f>IF(Total_SimpleSell=0,0,S13/Total_SimpleSell*Total_GC)</f>
        <v>0</v>
      </c>
      <c r="U13" s="75">
        <f>(K13*(Prod_MaterialMU+1)*Prod_TaxRateMaterial+L13*(Prod_LaborMU+1)*Prod_TaxRateLabor+N13*(Prod_MaterialMU2+1)*Prod_TaxRateMaterial2+O13*(Prod_LaborMU2+1)*Prod_TaxRateLabor2+R13*Prod_TaxRateProfit+T13*TaxRateGC)</f>
        <v>0</v>
      </c>
      <c r="V13" s="75">
        <f>SUM(S13+T13+U13)</f>
        <v>328.61175000000003</v>
      </c>
    </row>
    <row r="14" spans="2:22" ht="12.75">
      <c r="B14" s="66"/>
      <c r="C14" s="66">
        <f>SUBTOTAL(9,C13:C13)</f>
        <v>1</v>
      </c>
      <c r="D14" s="66"/>
      <c r="E14" s="66"/>
      <c r="F14" s="66"/>
      <c r="G14" s="66"/>
      <c r="H14" s="66"/>
      <c r="I14" s="66"/>
      <c r="J14" s="71">
        <f>SUBTOTAL(9,J13:J13)</f>
        <v>125.02166666666665</v>
      </c>
      <c r="K14" s="76">
        <f>SUBTOTAL(9,K13:K13)</f>
        <v>93.7301</v>
      </c>
      <c r="L14" s="76">
        <f>SUBTOTAL(9,L13:L13)</f>
        <v>67.6703</v>
      </c>
      <c r="M14" s="71">
        <f>SUBTOTAL(9,M13:M13)</f>
        <v>3.3835166250000013</v>
      </c>
      <c r="N14" s="76">
        <f>SUBTOTAL(9,N13:N13)</f>
        <v>0</v>
      </c>
      <c r="O14" s="76">
        <f>SUBTOTAL(9,O13:O13)</f>
        <v>20</v>
      </c>
      <c r="P14" s="71">
        <f>SUBTOTAL(9,P13:P13)</f>
        <v>0.5</v>
      </c>
      <c r="Q14" s="76">
        <f>SUBTOTAL(9,Q13:Q13)</f>
        <v>37.674099999999996</v>
      </c>
      <c r="R14" s="76">
        <f>SUBTOTAL(9,R13:R13)</f>
        <v>109.53725</v>
      </c>
      <c r="S14" s="76">
        <f>SUBTOTAL(9,S13:S13)</f>
        <v>328.61175000000003</v>
      </c>
      <c r="T14" s="76">
        <f>SUBTOTAL(9,T13:T13)</f>
        <v>0</v>
      </c>
      <c r="U14" s="76">
        <f>SUBTOTAL(9,U13:U13)</f>
        <v>0</v>
      </c>
      <c r="V14" s="76">
        <f>SUBTOTAL(9,V13:V13)</f>
        <v>328.61175000000003</v>
      </c>
    </row>
    <row r="15" spans="3:23" ht="12.75">
      <c r="C15" s="114">
        <v>1</v>
      </c>
      <c r="D15" s="114" t="s">
        <v>416</v>
      </c>
      <c r="E15" s="114"/>
      <c r="F15" s="114"/>
      <c r="G15" s="114"/>
      <c r="H15" s="114"/>
      <c r="I15" s="114"/>
      <c r="J15" s="115">
        <f>J14/$C15</f>
        <v>125.02166666666665</v>
      </c>
      <c r="K15" s="116">
        <f>K14/$C15</f>
        <v>93.7301</v>
      </c>
      <c r="L15" s="116">
        <f>L14/$C15</f>
        <v>67.6703</v>
      </c>
      <c r="M15" s="115">
        <f>M14/$C15</f>
        <v>3.3835166250000013</v>
      </c>
      <c r="N15" s="116">
        <f>N14/$C15</f>
        <v>0</v>
      </c>
      <c r="O15" s="116">
        <f>O14/$C15</f>
        <v>20</v>
      </c>
      <c r="P15" s="115">
        <f>P14/$C15</f>
        <v>0.5</v>
      </c>
      <c r="Q15" s="116"/>
      <c r="R15" s="116"/>
      <c r="S15" s="116">
        <f>S14/$C15</f>
        <v>328.61175000000003</v>
      </c>
      <c r="T15" s="116"/>
      <c r="U15" s="116"/>
      <c r="V15" s="116"/>
      <c r="W15" s="31" t="str">
        <f>FIXED(C15,0)&amp;" Units @ "&amp;DOLLAR(S15)&amp;" per Each"</f>
        <v>1 Units @ $328.61 per Each</v>
      </c>
    </row>
    <row r="16" spans="3:23" ht="12.75">
      <c r="C16" s="114">
        <v>2.5</v>
      </c>
      <c r="D16" s="114" t="s">
        <v>417</v>
      </c>
      <c r="E16" s="114"/>
      <c r="F16" s="114"/>
      <c r="G16" s="114"/>
      <c r="H16" s="114"/>
      <c r="I16" s="114"/>
      <c r="J16" s="115">
        <f>J14/$C16</f>
        <v>50.008666666666656</v>
      </c>
      <c r="K16" s="116">
        <f>K14/$C16</f>
        <v>37.492039999999996</v>
      </c>
      <c r="L16" s="116">
        <f>L14/$C16</f>
        <v>27.06812</v>
      </c>
      <c r="M16" s="115">
        <f>M14/$C16</f>
        <v>1.3534066500000006</v>
      </c>
      <c r="N16" s="116">
        <f>N14/$C16</f>
        <v>0</v>
      </c>
      <c r="O16" s="116">
        <f>O14/$C16</f>
        <v>8</v>
      </c>
      <c r="P16" s="115">
        <f>P15/$C16</f>
        <v>0.2</v>
      </c>
      <c r="Q16" s="116"/>
      <c r="R16" s="116"/>
      <c r="S16" s="116">
        <f>S14/$C16</f>
        <v>131.4447</v>
      </c>
      <c r="T16" s="116"/>
      <c r="U16" s="116"/>
      <c r="V16" s="116"/>
      <c r="W16" s="31" t="str">
        <f>FIXED(C16,1)&amp;" Linft. @ "&amp;DOLLAR(S16)&amp;" per Linft."</f>
        <v>2.5 Linft. @ $131.44 per Linft.</v>
      </c>
    </row>
    <row r="17" spans="10:22" ht="12.75">
      <c r="J17" s="45"/>
      <c r="K17" s="73"/>
      <c r="L17" s="73"/>
      <c r="M17" s="45"/>
      <c r="N17" s="73"/>
      <c r="O17" s="73"/>
      <c r="P17" s="45"/>
      <c r="Q17" s="73"/>
      <c r="R17" s="73"/>
      <c r="S17" s="73"/>
      <c r="T17" s="73"/>
      <c r="U17" s="73"/>
      <c r="V17" s="73"/>
    </row>
    <row r="18" spans="1:22" ht="15.75">
      <c r="A18" s="63" t="s">
        <v>418</v>
      </c>
      <c r="J18" s="45"/>
      <c r="K18" s="73"/>
      <c r="L18" s="73"/>
      <c r="M18" s="45"/>
      <c r="N18" s="73"/>
      <c r="O18" s="73"/>
      <c r="P18" s="45"/>
      <c r="Q18" s="73"/>
      <c r="R18" s="73"/>
      <c r="S18" s="73"/>
      <c r="T18" s="73"/>
      <c r="U18" s="73"/>
      <c r="V18" s="73"/>
    </row>
    <row r="19" spans="1:22" ht="12.75">
      <c r="A19" s="55">
        <f>Prod_FeeMU</f>
        <v>0.5</v>
      </c>
      <c r="J19" s="45"/>
      <c r="K19" s="73"/>
      <c r="L19" s="73"/>
      <c r="M19" s="45"/>
      <c r="N19" s="73"/>
      <c r="O19" s="73"/>
      <c r="P19" s="45"/>
      <c r="Q19" s="73"/>
      <c r="R19" s="73"/>
      <c r="S19" s="73"/>
      <c r="T19" s="73"/>
      <c r="U19" s="73"/>
      <c r="V19" s="73"/>
    </row>
    <row r="20" spans="2:22" ht="12.75">
      <c r="B20" s="64" t="s">
        <v>196</v>
      </c>
      <c r="C20" s="64" t="s">
        <v>197</v>
      </c>
      <c r="D20" s="64" t="s">
        <v>415</v>
      </c>
      <c r="E20" s="64" t="s">
        <v>199</v>
      </c>
      <c r="F20" s="64" t="s">
        <v>200</v>
      </c>
      <c r="G20" s="64" t="s">
        <v>201</v>
      </c>
      <c r="H20" s="64" t="s">
        <v>202</v>
      </c>
      <c r="I20" s="64" t="s">
        <v>203</v>
      </c>
      <c r="J20" s="69" t="s">
        <v>204</v>
      </c>
      <c r="K20" s="74" t="s">
        <v>205</v>
      </c>
      <c r="L20" s="74" t="s">
        <v>206</v>
      </c>
      <c r="M20" s="69" t="s">
        <v>207</v>
      </c>
      <c r="N20" s="74" t="s">
        <v>208</v>
      </c>
      <c r="O20" s="74" t="s">
        <v>209</v>
      </c>
      <c r="P20" s="69" t="s">
        <v>210</v>
      </c>
      <c r="Q20" s="74" t="s">
        <v>14</v>
      </c>
      <c r="R20" s="74" t="s">
        <v>12</v>
      </c>
      <c r="S20" s="74" t="s">
        <v>211</v>
      </c>
      <c r="T20" s="74" t="s">
        <v>212</v>
      </c>
      <c r="U20" s="74" t="s">
        <v>3</v>
      </c>
      <c r="V20" s="74" t="s">
        <v>213</v>
      </c>
    </row>
    <row r="21" spans="2:22" ht="12.75" outlineLevel="1">
      <c r="B21" s="65">
        <v>22</v>
      </c>
      <c r="C21" s="65">
        <v>1</v>
      </c>
      <c r="D21" s="65" t="s">
        <v>246</v>
      </c>
      <c r="E21" s="65" t="s">
        <v>253</v>
      </c>
      <c r="F21" s="65" t="s">
        <v>249</v>
      </c>
      <c r="G21" s="65"/>
      <c r="H21" s="65" t="s">
        <v>217</v>
      </c>
      <c r="I21" s="65" t="s">
        <v>223</v>
      </c>
      <c r="J21" s="70">
        <v>101.47777777777776</v>
      </c>
      <c r="K21" s="75">
        <v>76.8541</v>
      </c>
      <c r="L21" s="75">
        <v>35.584</v>
      </c>
      <c r="M21" s="70">
        <v>1.7791993333333334</v>
      </c>
      <c r="N21" s="75">
        <v>0</v>
      </c>
      <c r="O21" s="75">
        <v>20</v>
      </c>
      <c r="P21" s="70">
        <v>0.5</v>
      </c>
      <c r="Q21" s="75">
        <f>K21*Prod_MaterialMU+L21*Prod_LaborMU+N21*Prod_MaterialMU2+O21*Prod_LaborMU2</f>
        <v>26.36061</v>
      </c>
      <c r="R21" s="75">
        <f>(K21+L21+N21+O21+Q21)*A$19</f>
        <v>79.39935500000001</v>
      </c>
      <c r="S21" s="75">
        <f>SUM(K21+L21+N21+O21+Q21+R21)</f>
        <v>238.19806500000004</v>
      </c>
      <c r="T21" s="75">
        <f>IF(Total_SimpleSell=0,0,S21/Total_SimpleSell*Total_GC)</f>
        <v>0</v>
      </c>
      <c r="U21" s="75">
        <f>(K21*(Prod_MaterialMU+1)*Prod_TaxRateMaterial+L21*(Prod_LaborMU+1)*Prod_TaxRateLabor+N21*(Prod_MaterialMU2+1)*Prod_TaxRateMaterial2+O21*(Prod_LaborMU2+1)*Prod_TaxRateLabor2+R21*Prod_TaxRateProfit+T21*TaxRateGC)</f>
        <v>0</v>
      </c>
      <c r="V21" s="75">
        <f>SUM(S21+T21+U21)</f>
        <v>238.19806500000004</v>
      </c>
    </row>
    <row r="22" spans="2:22" ht="12.75">
      <c r="B22" s="66"/>
      <c r="C22" s="66">
        <f>SUBTOTAL(9,C21:C21)</f>
        <v>1</v>
      </c>
      <c r="D22" s="66"/>
      <c r="E22" s="66"/>
      <c r="F22" s="66"/>
      <c r="G22" s="66"/>
      <c r="H22" s="66"/>
      <c r="I22" s="66"/>
      <c r="J22" s="71">
        <f>SUBTOTAL(9,J21:J21)</f>
        <v>101.47777777777776</v>
      </c>
      <c r="K22" s="76">
        <f>SUBTOTAL(9,K21:K21)</f>
        <v>76.8541</v>
      </c>
      <c r="L22" s="76">
        <f>SUBTOTAL(9,L21:L21)</f>
        <v>35.584</v>
      </c>
      <c r="M22" s="71">
        <f>SUBTOTAL(9,M21:M21)</f>
        <v>1.7791993333333334</v>
      </c>
      <c r="N22" s="76">
        <f>SUBTOTAL(9,N21:N21)</f>
        <v>0</v>
      </c>
      <c r="O22" s="76">
        <f>SUBTOTAL(9,O21:O21)</f>
        <v>20</v>
      </c>
      <c r="P22" s="71">
        <f>SUBTOTAL(9,P21:P21)</f>
        <v>0.5</v>
      </c>
      <c r="Q22" s="76">
        <f>SUBTOTAL(9,Q21:Q21)</f>
        <v>26.36061</v>
      </c>
      <c r="R22" s="76">
        <f>SUBTOTAL(9,R21:R21)</f>
        <v>79.39935500000001</v>
      </c>
      <c r="S22" s="76">
        <f>SUBTOTAL(9,S21:S21)</f>
        <v>238.19806500000004</v>
      </c>
      <c r="T22" s="76">
        <f>SUBTOTAL(9,T21:T21)</f>
        <v>0</v>
      </c>
      <c r="U22" s="76">
        <f>SUBTOTAL(9,U21:U21)</f>
        <v>0</v>
      </c>
      <c r="V22" s="76">
        <f>SUBTOTAL(9,V21:V21)</f>
        <v>238.19806500000004</v>
      </c>
    </row>
    <row r="23" spans="3:23" ht="12.75">
      <c r="C23" s="114">
        <v>1</v>
      </c>
      <c r="D23" s="114" t="s">
        <v>416</v>
      </c>
      <c r="E23" s="114"/>
      <c r="F23" s="114"/>
      <c r="G23" s="114"/>
      <c r="H23" s="114"/>
      <c r="I23" s="114"/>
      <c r="J23" s="115">
        <f>J22/$C23</f>
        <v>101.47777777777776</v>
      </c>
      <c r="K23" s="116">
        <f>K22/$C23</f>
        <v>76.8541</v>
      </c>
      <c r="L23" s="116">
        <f>L22/$C23</f>
        <v>35.584</v>
      </c>
      <c r="M23" s="115">
        <f>M22/$C23</f>
        <v>1.7791993333333334</v>
      </c>
      <c r="N23" s="116">
        <f>N22/$C23</f>
        <v>0</v>
      </c>
      <c r="O23" s="116">
        <f>O22/$C23</f>
        <v>20</v>
      </c>
      <c r="P23" s="115">
        <f>P22/$C23</f>
        <v>0.5</v>
      </c>
      <c r="Q23" s="116"/>
      <c r="R23" s="116"/>
      <c r="S23" s="116">
        <f>S22/$C23</f>
        <v>238.19806500000004</v>
      </c>
      <c r="T23" s="116"/>
      <c r="U23" s="116"/>
      <c r="V23" s="116"/>
      <c r="W23" s="31" t="str">
        <f>FIXED(C23,0)&amp;" Units @ "&amp;DOLLAR(S23)&amp;" per Each"</f>
        <v>1 Units @ $238.20 per Each</v>
      </c>
    </row>
    <row r="24" spans="3:23" ht="12.75">
      <c r="C24" s="114">
        <v>3.3333333333333335</v>
      </c>
      <c r="D24" s="114" t="s">
        <v>417</v>
      </c>
      <c r="E24" s="114"/>
      <c r="F24" s="114"/>
      <c r="G24" s="114"/>
      <c r="H24" s="114"/>
      <c r="I24" s="114"/>
      <c r="J24" s="115">
        <f>J22/$C24</f>
        <v>30.443333333333328</v>
      </c>
      <c r="K24" s="116">
        <f>K22/$C24</f>
        <v>23.05623</v>
      </c>
      <c r="L24" s="116">
        <f>L22/$C24</f>
        <v>10.6752</v>
      </c>
      <c r="M24" s="115">
        <f>M22/$C24</f>
        <v>0.5337598</v>
      </c>
      <c r="N24" s="116">
        <f>N22/$C24</f>
        <v>0</v>
      </c>
      <c r="O24" s="116">
        <f>O22/$C24</f>
        <v>6</v>
      </c>
      <c r="P24" s="115">
        <f>P23/$C24</f>
        <v>0.15</v>
      </c>
      <c r="Q24" s="116"/>
      <c r="R24" s="116"/>
      <c r="S24" s="116">
        <f>S22/$C24</f>
        <v>71.45941950000001</v>
      </c>
      <c r="T24" s="116"/>
      <c r="U24" s="116"/>
      <c r="V24" s="116"/>
      <c r="W24" s="31" t="str">
        <f>FIXED(C24,1)&amp;" Linft. @ "&amp;DOLLAR(S24)&amp;" per Linft."</f>
        <v>3.3 Linft. @ $71.46 per Linft.</v>
      </c>
    </row>
    <row r="25" spans="10:22" ht="12.75">
      <c r="J25" s="45"/>
      <c r="K25" s="73"/>
      <c r="L25" s="73"/>
      <c r="M25" s="45"/>
      <c r="N25" s="73"/>
      <c r="O25" s="73"/>
      <c r="P25" s="45"/>
      <c r="Q25" s="73"/>
      <c r="R25" s="73"/>
      <c r="S25" s="73"/>
      <c r="T25" s="73"/>
      <c r="U25" s="73"/>
      <c r="V25" s="73"/>
    </row>
    <row r="26" spans="1:22" ht="15.75">
      <c r="A26" s="63" t="s">
        <v>419</v>
      </c>
      <c r="J26" s="45"/>
      <c r="K26" s="73"/>
      <c r="L26" s="73"/>
      <c r="M26" s="45"/>
      <c r="N26" s="73"/>
      <c r="O26" s="73"/>
      <c r="P26" s="45"/>
      <c r="Q26" s="73"/>
      <c r="R26" s="73"/>
      <c r="S26" s="73"/>
      <c r="T26" s="73"/>
      <c r="U26" s="73"/>
      <c r="V26" s="73"/>
    </row>
    <row r="27" spans="1:22" ht="12.75">
      <c r="A27" s="55">
        <f>Prod_FeeMU</f>
        <v>0.5</v>
      </c>
      <c r="J27" s="45"/>
      <c r="K27" s="73"/>
      <c r="L27" s="73"/>
      <c r="M27" s="45"/>
      <c r="N27" s="73"/>
      <c r="O27" s="73"/>
      <c r="P27" s="45"/>
      <c r="Q27" s="73"/>
      <c r="R27" s="73"/>
      <c r="S27" s="73"/>
      <c r="T27" s="73"/>
      <c r="U27" s="73"/>
      <c r="V27" s="73"/>
    </row>
    <row r="28" spans="2:22" ht="12.75">
      <c r="B28" s="64" t="s">
        <v>196</v>
      </c>
      <c r="C28" s="64" t="s">
        <v>197</v>
      </c>
      <c r="D28" s="64" t="s">
        <v>415</v>
      </c>
      <c r="E28" s="64" t="s">
        <v>199</v>
      </c>
      <c r="F28" s="64" t="s">
        <v>200</v>
      </c>
      <c r="G28" s="64" t="s">
        <v>201</v>
      </c>
      <c r="H28" s="64" t="s">
        <v>202</v>
      </c>
      <c r="I28" s="64" t="s">
        <v>203</v>
      </c>
      <c r="J28" s="69" t="s">
        <v>204</v>
      </c>
      <c r="K28" s="74" t="s">
        <v>205</v>
      </c>
      <c r="L28" s="74" t="s">
        <v>206</v>
      </c>
      <c r="M28" s="69" t="s">
        <v>207</v>
      </c>
      <c r="N28" s="74" t="s">
        <v>208</v>
      </c>
      <c r="O28" s="74" t="s">
        <v>209</v>
      </c>
      <c r="P28" s="69" t="s">
        <v>210</v>
      </c>
      <c r="Q28" s="74" t="s">
        <v>14</v>
      </c>
      <c r="R28" s="74" t="s">
        <v>12</v>
      </c>
      <c r="S28" s="74" t="s">
        <v>211</v>
      </c>
      <c r="T28" s="74" t="s">
        <v>212</v>
      </c>
      <c r="U28" s="74" t="s">
        <v>3</v>
      </c>
      <c r="V28" s="74" t="s">
        <v>213</v>
      </c>
    </row>
    <row r="29" spans="2:22" ht="12.75" outlineLevel="1">
      <c r="B29" s="65">
        <v>18</v>
      </c>
      <c r="C29" s="65">
        <v>1</v>
      </c>
      <c r="D29" s="65" t="s">
        <v>232</v>
      </c>
      <c r="E29" s="65" t="s">
        <v>240</v>
      </c>
      <c r="F29" s="65" t="s">
        <v>216</v>
      </c>
      <c r="G29" s="65"/>
      <c r="H29" s="65" t="s">
        <v>217</v>
      </c>
      <c r="I29" s="65" t="s">
        <v>236</v>
      </c>
      <c r="J29" s="70">
        <v>121.04984722222221</v>
      </c>
      <c r="K29" s="75">
        <v>143.1788</v>
      </c>
      <c r="L29" s="75">
        <v>81.3543</v>
      </c>
      <c r="M29" s="70">
        <v>4.067717131944444</v>
      </c>
      <c r="N29" s="75">
        <v>0</v>
      </c>
      <c r="O29" s="75">
        <v>40.6667</v>
      </c>
      <c r="P29" s="70">
        <v>1.0166666666666666</v>
      </c>
      <c r="Q29" s="75">
        <f>K29*Prod_MaterialMU+L29*Prod_LaborMU+N29*Prod_MaterialMU2+O29*Prod_LaborMU2</f>
        <v>54.99085</v>
      </c>
      <c r="R29" s="75">
        <f>(K29+L29+N29+O29+Q29)*A$27</f>
        <v>160.095325</v>
      </c>
      <c r="S29" s="75">
        <f>SUM(K29+L29+N29+O29+Q29+R29)</f>
        <v>480.285975</v>
      </c>
      <c r="T29" s="75">
        <f>IF(Total_SimpleSell=0,0,S29/Total_SimpleSell*Total_GC)</f>
        <v>0</v>
      </c>
      <c r="U29" s="75">
        <f>(K29*(Prod_MaterialMU+1)*Prod_TaxRateMaterial+L29*(Prod_LaborMU+1)*Prod_TaxRateLabor+N29*(Prod_MaterialMU2+1)*Prod_TaxRateMaterial2+O29*(Prod_LaborMU2+1)*Prod_TaxRateLabor2+R29*Prod_TaxRateProfit+T29*TaxRateGC)</f>
        <v>0</v>
      </c>
      <c r="V29" s="75">
        <f>SUM(S29+T29+U29)</f>
        <v>480.285975</v>
      </c>
    </row>
    <row r="30" spans="2:22" ht="12.75">
      <c r="B30" s="66"/>
      <c r="C30" s="66">
        <f>SUBTOTAL(9,C29:C29)</f>
        <v>1</v>
      </c>
      <c r="D30" s="66"/>
      <c r="E30" s="66"/>
      <c r="F30" s="66"/>
      <c r="G30" s="66"/>
      <c r="H30" s="66"/>
      <c r="I30" s="66"/>
      <c r="J30" s="71">
        <f>SUBTOTAL(9,J29:J29)</f>
        <v>121.04984722222221</v>
      </c>
      <c r="K30" s="76">
        <f>SUBTOTAL(9,K29:K29)</f>
        <v>143.1788</v>
      </c>
      <c r="L30" s="76">
        <f>SUBTOTAL(9,L29:L29)</f>
        <v>81.3543</v>
      </c>
      <c r="M30" s="71">
        <f>SUBTOTAL(9,M29:M29)</f>
        <v>4.067717131944444</v>
      </c>
      <c r="N30" s="76">
        <f>SUBTOTAL(9,N29:N29)</f>
        <v>0</v>
      </c>
      <c r="O30" s="76">
        <f>SUBTOTAL(9,O29:O29)</f>
        <v>40.6667</v>
      </c>
      <c r="P30" s="71">
        <f>SUBTOTAL(9,P29:P29)</f>
        <v>1.0166666666666666</v>
      </c>
      <c r="Q30" s="76">
        <f>SUBTOTAL(9,Q29:Q29)</f>
        <v>54.99085</v>
      </c>
      <c r="R30" s="76">
        <f>SUBTOTAL(9,R29:R29)</f>
        <v>160.095325</v>
      </c>
      <c r="S30" s="76">
        <f>SUBTOTAL(9,S29:S29)</f>
        <v>480.285975</v>
      </c>
      <c r="T30" s="76">
        <f>SUBTOTAL(9,T29:T29)</f>
        <v>0</v>
      </c>
      <c r="U30" s="76">
        <f>SUBTOTAL(9,U29:U29)</f>
        <v>0</v>
      </c>
      <c r="V30" s="76">
        <f>SUBTOTAL(9,V29:V29)</f>
        <v>480.285975</v>
      </c>
    </row>
    <row r="31" spans="3:23" ht="12.75">
      <c r="C31" s="114">
        <v>1</v>
      </c>
      <c r="D31" s="114" t="s">
        <v>416</v>
      </c>
      <c r="E31" s="114"/>
      <c r="F31" s="114"/>
      <c r="G31" s="114"/>
      <c r="H31" s="114"/>
      <c r="I31" s="114"/>
      <c r="J31" s="115">
        <f>J30/$C31</f>
        <v>121.04984722222221</v>
      </c>
      <c r="K31" s="116">
        <f>K30/$C31</f>
        <v>143.1788</v>
      </c>
      <c r="L31" s="116">
        <f>L30/$C31</f>
        <v>81.3543</v>
      </c>
      <c r="M31" s="115">
        <f>M30/$C31</f>
        <v>4.067717131944444</v>
      </c>
      <c r="N31" s="116">
        <f>N30/$C31</f>
        <v>0</v>
      </c>
      <c r="O31" s="116">
        <f>O30/$C31</f>
        <v>40.6667</v>
      </c>
      <c r="P31" s="115">
        <f>P30/$C31</f>
        <v>1.0166666666666666</v>
      </c>
      <c r="Q31" s="116"/>
      <c r="R31" s="116"/>
      <c r="S31" s="116">
        <f>S30/$C31</f>
        <v>480.285975</v>
      </c>
      <c r="T31" s="116"/>
      <c r="U31" s="116"/>
      <c r="V31" s="116"/>
      <c r="W31" s="31" t="str">
        <f>FIXED(C31,0)&amp;" Units @ "&amp;DOLLAR(S31)&amp;" per Each"</f>
        <v>1 Units @ $480.29 per Each</v>
      </c>
    </row>
    <row r="32" spans="3:23" ht="12.75">
      <c r="C32" s="114">
        <v>10.166666666666666</v>
      </c>
      <c r="D32" s="114" t="s">
        <v>417</v>
      </c>
      <c r="E32" s="114"/>
      <c r="F32" s="114"/>
      <c r="G32" s="114"/>
      <c r="H32" s="114"/>
      <c r="I32" s="114"/>
      <c r="J32" s="115">
        <f>J30/$C32</f>
        <v>11.906542349726775</v>
      </c>
      <c r="K32" s="116">
        <f>K30/$C32</f>
        <v>14.083160655737705</v>
      </c>
      <c r="L32" s="116">
        <f>L30/$C32</f>
        <v>8.002062295081966</v>
      </c>
      <c r="M32" s="115">
        <f>M30/$C32</f>
        <v>0.4001033244535519</v>
      </c>
      <c r="N32" s="116">
        <f>N30/$C32</f>
        <v>0</v>
      </c>
      <c r="O32" s="116">
        <f>O30/$C32</f>
        <v>4.000003278688525</v>
      </c>
      <c r="P32" s="115">
        <f>P31/$C32</f>
        <v>0.1</v>
      </c>
      <c r="Q32" s="116"/>
      <c r="R32" s="116"/>
      <c r="S32" s="116">
        <f>S30/$C32</f>
        <v>47.24124344262295</v>
      </c>
      <c r="T32" s="116"/>
      <c r="U32" s="116"/>
      <c r="V32" s="116"/>
      <c r="W32" s="31" t="str">
        <f>FIXED(C32,1)&amp;" Linft. @ "&amp;DOLLAR(S32)&amp;" per Linft."</f>
        <v>10.2 Linft. @ $47.24 per Linft.</v>
      </c>
    </row>
    <row r="33" spans="10:22" ht="12.75">
      <c r="J33" s="45"/>
      <c r="K33" s="73"/>
      <c r="L33" s="73"/>
      <c r="M33" s="45"/>
      <c r="N33" s="73"/>
      <c r="O33" s="73"/>
      <c r="P33" s="45"/>
      <c r="Q33" s="73"/>
      <c r="R33" s="73"/>
      <c r="S33" s="73"/>
      <c r="T33" s="73"/>
      <c r="U33" s="73"/>
      <c r="V33" s="73"/>
    </row>
    <row r="34" spans="1:22" ht="15.75">
      <c r="A34" s="63" t="s">
        <v>420</v>
      </c>
      <c r="J34" s="45"/>
      <c r="K34" s="73"/>
      <c r="L34" s="73"/>
      <c r="M34" s="45"/>
      <c r="N34" s="73"/>
      <c r="O34" s="73"/>
      <c r="P34" s="45"/>
      <c r="Q34" s="73"/>
      <c r="R34" s="73"/>
      <c r="S34" s="73"/>
      <c r="T34" s="73"/>
      <c r="U34" s="73"/>
      <c r="V34" s="73"/>
    </row>
    <row r="35" spans="1:22" ht="12.75">
      <c r="A35" s="55">
        <f>Prod_FeeMU</f>
        <v>0.5</v>
      </c>
      <c r="J35" s="45"/>
      <c r="K35" s="73"/>
      <c r="L35" s="73"/>
      <c r="M35" s="45"/>
      <c r="N35" s="73"/>
      <c r="O35" s="73"/>
      <c r="P35" s="45"/>
      <c r="Q35" s="73"/>
      <c r="R35" s="73"/>
      <c r="S35" s="73"/>
      <c r="T35" s="73"/>
      <c r="U35" s="73"/>
      <c r="V35" s="73"/>
    </row>
    <row r="36" spans="2:22" ht="12.75">
      <c r="B36" s="64" t="s">
        <v>196</v>
      </c>
      <c r="C36" s="64" t="s">
        <v>197</v>
      </c>
      <c r="D36" s="64" t="s">
        <v>415</v>
      </c>
      <c r="E36" s="64" t="s">
        <v>199</v>
      </c>
      <c r="F36" s="64" t="s">
        <v>200</v>
      </c>
      <c r="G36" s="64" t="s">
        <v>201</v>
      </c>
      <c r="H36" s="64" t="s">
        <v>202</v>
      </c>
      <c r="I36" s="64" t="s">
        <v>203</v>
      </c>
      <c r="J36" s="69" t="s">
        <v>204</v>
      </c>
      <c r="K36" s="74" t="s">
        <v>205</v>
      </c>
      <c r="L36" s="74" t="s">
        <v>206</v>
      </c>
      <c r="M36" s="69" t="s">
        <v>207</v>
      </c>
      <c r="N36" s="74" t="s">
        <v>208</v>
      </c>
      <c r="O36" s="74" t="s">
        <v>209</v>
      </c>
      <c r="P36" s="69" t="s">
        <v>210</v>
      </c>
      <c r="Q36" s="74" t="s">
        <v>14</v>
      </c>
      <c r="R36" s="74" t="s">
        <v>12</v>
      </c>
      <c r="S36" s="74" t="s">
        <v>211</v>
      </c>
      <c r="T36" s="74" t="s">
        <v>212</v>
      </c>
      <c r="U36" s="74" t="s">
        <v>3</v>
      </c>
      <c r="V36" s="74" t="s">
        <v>213</v>
      </c>
    </row>
    <row r="37" spans="2:22" ht="12.75" outlineLevel="1">
      <c r="B37" s="65">
        <v>3</v>
      </c>
      <c r="C37" s="65">
        <v>1</v>
      </c>
      <c r="D37" s="65" t="s">
        <v>219</v>
      </c>
      <c r="E37" s="65" t="s">
        <v>225</v>
      </c>
      <c r="F37" s="65" t="s">
        <v>222</v>
      </c>
      <c r="G37" s="65"/>
      <c r="H37" s="65" t="s">
        <v>217</v>
      </c>
      <c r="I37" s="65" t="s">
        <v>223</v>
      </c>
      <c r="J37" s="70">
        <v>84.09166666666668</v>
      </c>
      <c r="K37" s="75">
        <v>148.6339</v>
      </c>
      <c r="L37" s="75">
        <v>55.8213</v>
      </c>
      <c r="M37" s="70">
        <v>2.7910647500000003</v>
      </c>
      <c r="N37" s="75">
        <v>0</v>
      </c>
      <c r="O37" s="75">
        <v>20</v>
      </c>
      <c r="P37" s="70">
        <v>0.5</v>
      </c>
      <c r="Q37" s="75">
        <f>K37*Prod_MaterialMU+L37*Prod_LaborMU+N37*Prod_MaterialMU2+O37*Prod_LaborMU2</f>
        <v>39.60978</v>
      </c>
      <c r="R37" s="75">
        <f>(K37+L37+N37+O37+Q37)*A$35</f>
        <v>132.03249</v>
      </c>
      <c r="S37" s="75">
        <f>SUM(K37+L37+N37+O37+Q37+R37)</f>
        <v>396.09747</v>
      </c>
      <c r="T37" s="75">
        <f>IF(Total_SimpleSell=0,0,S37/Total_SimpleSell*Total_GC)</f>
        <v>0</v>
      </c>
      <c r="U37" s="75">
        <f>(K37*(Prod_MaterialMU+1)*Prod_TaxRateMaterial+L37*(Prod_LaborMU+1)*Prod_TaxRateLabor+N37*(Prod_MaterialMU2+1)*Prod_TaxRateMaterial2+O37*(Prod_LaborMU2+1)*Prod_TaxRateLabor2+R37*Prod_TaxRateProfit+T37*TaxRateGC)</f>
        <v>0</v>
      </c>
      <c r="V37" s="75">
        <f>SUM(S37+T37+U37)</f>
        <v>396.09747</v>
      </c>
    </row>
    <row r="38" spans="2:22" ht="12.75" outlineLevel="1">
      <c r="B38" s="65">
        <v>4</v>
      </c>
      <c r="C38" s="65">
        <v>2</v>
      </c>
      <c r="D38" s="65" t="s">
        <v>219</v>
      </c>
      <c r="E38" s="65" t="s">
        <v>225</v>
      </c>
      <c r="F38" s="65" t="s">
        <v>222</v>
      </c>
      <c r="G38" s="65"/>
      <c r="H38" s="65" t="s">
        <v>217</v>
      </c>
      <c r="I38" s="65" t="s">
        <v>223</v>
      </c>
      <c r="J38" s="70">
        <v>153.98333333333335</v>
      </c>
      <c r="K38" s="75">
        <v>289.9408</v>
      </c>
      <c r="L38" s="75">
        <v>107.8248</v>
      </c>
      <c r="M38" s="70">
        <v>5.391239500000002</v>
      </c>
      <c r="N38" s="75">
        <v>0</v>
      </c>
      <c r="O38" s="75">
        <v>40</v>
      </c>
      <c r="P38" s="70">
        <v>1</v>
      </c>
      <c r="Q38" s="75">
        <f>K38*Prod_MaterialMU+L38*Prod_LaborMU+N38*Prod_MaterialMU2+O38*Prod_LaborMU2</f>
        <v>77.34152</v>
      </c>
      <c r="R38" s="75">
        <f>(K38+L38+N38+O38+Q38)*A$35</f>
        <v>257.55356</v>
      </c>
      <c r="S38" s="75">
        <f>SUM(K38+L38+N38+O38+Q38+R38)</f>
        <v>772.66068</v>
      </c>
      <c r="T38" s="75">
        <f>IF(Total_SimpleSell=0,0,S38/Total_SimpleSell*Total_GC)</f>
        <v>0</v>
      </c>
      <c r="U38" s="75">
        <f>(K38*(Prod_MaterialMU+1)*Prod_TaxRateMaterial+L38*(Prod_LaborMU+1)*Prod_TaxRateLabor+N38*(Prod_MaterialMU2+1)*Prod_TaxRateMaterial2+O38*(Prod_LaborMU2+1)*Prod_TaxRateLabor2+R38*Prod_TaxRateProfit+T38*TaxRateGC)</f>
        <v>0</v>
      </c>
      <c r="V38" s="75">
        <f>SUM(S38+T38+U38)</f>
        <v>772.66068</v>
      </c>
    </row>
    <row r="39" spans="2:22" ht="12.75" outlineLevel="1">
      <c r="B39" s="65">
        <v>5</v>
      </c>
      <c r="C39" s="65">
        <v>1</v>
      </c>
      <c r="D39" s="65" t="s">
        <v>219</v>
      </c>
      <c r="E39" s="65" t="s">
        <v>225</v>
      </c>
      <c r="F39" s="65" t="s">
        <v>222</v>
      </c>
      <c r="G39" s="65"/>
      <c r="H39" s="65" t="s">
        <v>217</v>
      </c>
      <c r="I39" s="65" t="s">
        <v>223</v>
      </c>
      <c r="J39" s="70">
        <v>84.09166666666668</v>
      </c>
      <c r="K39" s="75">
        <v>148.6339</v>
      </c>
      <c r="L39" s="75">
        <v>55.8213</v>
      </c>
      <c r="M39" s="70">
        <v>2.7910647500000003</v>
      </c>
      <c r="N39" s="75">
        <v>0</v>
      </c>
      <c r="O39" s="75">
        <v>20</v>
      </c>
      <c r="P39" s="70">
        <v>0.5</v>
      </c>
      <c r="Q39" s="75">
        <f>K39*Prod_MaterialMU+L39*Prod_LaborMU+N39*Prod_MaterialMU2+O39*Prod_LaborMU2</f>
        <v>39.60978</v>
      </c>
      <c r="R39" s="75">
        <f>(K39+L39+N39+O39+Q39)*A$35</f>
        <v>132.03249</v>
      </c>
      <c r="S39" s="75">
        <f>SUM(K39+L39+N39+O39+Q39+R39)</f>
        <v>396.09747</v>
      </c>
      <c r="T39" s="75">
        <f>IF(Total_SimpleSell=0,0,S39/Total_SimpleSell*Total_GC)</f>
        <v>0</v>
      </c>
      <c r="U39" s="75">
        <f>(K39*(Prod_MaterialMU+1)*Prod_TaxRateMaterial+L39*(Prod_LaborMU+1)*Prod_TaxRateLabor+N39*(Prod_MaterialMU2+1)*Prod_TaxRateMaterial2+O39*(Prod_LaborMU2+1)*Prod_TaxRateLabor2+R39*Prod_TaxRateProfit+T39*TaxRateGC)</f>
        <v>0</v>
      </c>
      <c r="V39" s="75">
        <f>SUM(S39+T39+U39)</f>
        <v>396.09747</v>
      </c>
    </row>
    <row r="40" spans="2:22" ht="12.75" outlineLevel="1">
      <c r="B40" s="65">
        <v>10</v>
      </c>
      <c r="C40" s="65">
        <v>1</v>
      </c>
      <c r="D40" s="65" t="s">
        <v>231</v>
      </c>
      <c r="E40" s="65" t="s">
        <v>225</v>
      </c>
      <c r="F40" s="65" t="s">
        <v>222</v>
      </c>
      <c r="G40" s="65"/>
      <c r="H40" s="65" t="s">
        <v>217</v>
      </c>
      <c r="I40" s="65" t="s">
        <v>223</v>
      </c>
      <c r="J40" s="70">
        <v>84.09166666666668</v>
      </c>
      <c r="K40" s="75">
        <v>148.6339</v>
      </c>
      <c r="L40" s="75">
        <v>55.8213</v>
      </c>
      <c r="M40" s="70">
        <v>2.7910647500000003</v>
      </c>
      <c r="N40" s="75">
        <v>0</v>
      </c>
      <c r="O40" s="75">
        <v>20</v>
      </c>
      <c r="P40" s="70">
        <v>0.5</v>
      </c>
      <c r="Q40" s="75">
        <f>K40*Prod_MaterialMU+L40*Prod_LaborMU+N40*Prod_MaterialMU2+O40*Prod_LaborMU2</f>
        <v>39.60978</v>
      </c>
      <c r="R40" s="75">
        <f>(K40+L40+N40+O40+Q40)*A$35</f>
        <v>132.03249</v>
      </c>
      <c r="S40" s="75">
        <f>SUM(K40+L40+N40+O40+Q40+R40)</f>
        <v>396.09747</v>
      </c>
      <c r="T40" s="75">
        <f>IF(Total_SimpleSell=0,0,S40/Total_SimpleSell*Total_GC)</f>
        <v>0</v>
      </c>
      <c r="U40" s="75">
        <f>(K40*(Prod_MaterialMU+1)*Prod_TaxRateMaterial+L40*(Prod_LaborMU+1)*Prod_TaxRateLabor+N40*(Prod_MaterialMU2+1)*Prod_TaxRateMaterial2+O40*(Prod_LaborMU2+1)*Prod_TaxRateLabor2+R40*Prod_TaxRateProfit+T40*TaxRateGC)</f>
        <v>0</v>
      </c>
      <c r="V40" s="75">
        <f>SUM(S40+T40+U40)</f>
        <v>396.09747</v>
      </c>
    </row>
    <row r="41" spans="2:22" ht="12.75" outlineLevel="1">
      <c r="B41" s="65">
        <v>11</v>
      </c>
      <c r="C41" s="65">
        <v>2</v>
      </c>
      <c r="D41" s="65" t="s">
        <v>231</v>
      </c>
      <c r="E41" s="65" t="s">
        <v>225</v>
      </c>
      <c r="F41" s="65" t="s">
        <v>222</v>
      </c>
      <c r="G41" s="65"/>
      <c r="H41" s="65" t="s">
        <v>217</v>
      </c>
      <c r="I41" s="65" t="s">
        <v>223</v>
      </c>
      <c r="J41" s="70">
        <v>153.98333333333335</v>
      </c>
      <c r="K41" s="75">
        <v>289.9408</v>
      </c>
      <c r="L41" s="75">
        <v>107.8248</v>
      </c>
      <c r="M41" s="70">
        <v>5.391239500000002</v>
      </c>
      <c r="N41" s="75">
        <v>0</v>
      </c>
      <c r="O41" s="75">
        <v>40</v>
      </c>
      <c r="P41" s="70">
        <v>1</v>
      </c>
      <c r="Q41" s="75">
        <f>K41*Prod_MaterialMU+L41*Prod_LaborMU+N41*Prod_MaterialMU2+O41*Prod_LaborMU2</f>
        <v>77.34152</v>
      </c>
      <c r="R41" s="75">
        <f>(K41+L41+N41+O41+Q41)*A$35</f>
        <v>257.55356</v>
      </c>
      <c r="S41" s="75">
        <f>SUM(K41+L41+N41+O41+Q41+R41)</f>
        <v>772.66068</v>
      </c>
      <c r="T41" s="75">
        <f>IF(Total_SimpleSell=0,0,S41/Total_SimpleSell*Total_GC)</f>
        <v>0</v>
      </c>
      <c r="U41" s="75">
        <f>(K41*(Prod_MaterialMU+1)*Prod_TaxRateMaterial+L41*(Prod_LaborMU+1)*Prod_TaxRateLabor+N41*(Prod_MaterialMU2+1)*Prod_TaxRateMaterial2+O41*(Prod_LaborMU2+1)*Prod_TaxRateLabor2+R41*Prod_TaxRateProfit+T41*TaxRateGC)</f>
        <v>0</v>
      </c>
      <c r="V41" s="75">
        <f>SUM(S41+T41+U41)</f>
        <v>772.66068</v>
      </c>
    </row>
    <row r="42" spans="2:22" ht="12.75" outlineLevel="1">
      <c r="B42" s="65">
        <v>12</v>
      </c>
      <c r="C42" s="65">
        <v>1</v>
      </c>
      <c r="D42" s="65" t="s">
        <v>231</v>
      </c>
      <c r="E42" s="65" t="s">
        <v>225</v>
      </c>
      <c r="F42" s="65" t="s">
        <v>222</v>
      </c>
      <c r="G42" s="65"/>
      <c r="H42" s="65" t="s">
        <v>217</v>
      </c>
      <c r="I42" s="65" t="s">
        <v>223</v>
      </c>
      <c r="J42" s="70">
        <v>84.09166666666668</v>
      </c>
      <c r="K42" s="75">
        <v>148.6339</v>
      </c>
      <c r="L42" s="75">
        <v>55.8213</v>
      </c>
      <c r="M42" s="70">
        <v>2.7910647500000003</v>
      </c>
      <c r="N42" s="75">
        <v>0</v>
      </c>
      <c r="O42" s="75">
        <v>20</v>
      </c>
      <c r="P42" s="70">
        <v>0.5</v>
      </c>
      <c r="Q42" s="75">
        <f>K42*Prod_MaterialMU+L42*Prod_LaborMU+N42*Prod_MaterialMU2+O42*Prod_LaborMU2</f>
        <v>39.60978</v>
      </c>
      <c r="R42" s="75">
        <f>(K42+L42+N42+O42+Q42)*A$35</f>
        <v>132.03249</v>
      </c>
      <c r="S42" s="75">
        <f>SUM(K42+L42+N42+O42+Q42+R42)</f>
        <v>396.09747</v>
      </c>
      <c r="T42" s="75">
        <f>IF(Total_SimpleSell=0,0,S42/Total_SimpleSell*Total_GC)</f>
        <v>0</v>
      </c>
      <c r="U42" s="75">
        <f>(K42*(Prod_MaterialMU+1)*Prod_TaxRateMaterial+L42*(Prod_LaborMU+1)*Prod_TaxRateLabor+N42*(Prod_MaterialMU2+1)*Prod_TaxRateMaterial2+O42*(Prod_LaborMU2+1)*Prod_TaxRateLabor2+R42*Prod_TaxRateProfit+T42*TaxRateGC)</f>
        <v>0</v>
      </c>
      <c r="V42" s="75">
        <f>SUM(S42+T42+U42)</f>
        <v>396.09747</v>
      </c>
    </row>
    <row r="43" spans="2:22" ht="12.75" outlineLevel="1">
      <c r="B43" s="65">
        <v>17</v>
      </c>
      <c r="C43" s="65">
        <v>2</v>
      </c>
      <c r="D43" s="65" t="s">
        <v>232</v>
      </c>
      <c r="E43" s="65" t="s">
        <v>237</v>
      </c>
      <c r="F43" s="65" t="s">
        <v>238</v>
      </c>
      <c r="G43" s="65"/>
      <c r="H43" s="65" t="s">
        <v>217</v>
      </c>
      <c r="I43" s="65" t="s">
        <v>236</v>
      </c>
      <c r="J43" s="70">
        <v>226.2</v>
      </c>
      <c r="K43" s="75">
        <v>390.3847</v>
      </c>
      <c r="L43" s="75">
        <v>123.5236</v>
      </c>
      <c r="M43" s="70">
        <v>6.176179500000001</v>
      </c>
      <c r="N43" s="75">
        <v>0</v>
      </c>
      <c r="O43" s="75">
        <v>40</v>
      </c>
      <c r="P43" s="70">
        <v>1</v>
      </c>
      <c r="Q43" s="75">
        <f>K43*Prod_MaterialMU+L43*Prod_LaborMU+N43*Prod_MaterialMU2+O43*Prod_LaborMU2</f>
        <v>92.09555</v>
      </c>
      <c r="R43" s="75">
        <f>(K43+L43+N43+O43+Q43)*A$35</f>
        <v>323.001925</v>
      </c>
      <c r="S43" s="75">
        <f>SUM(K43+L43+N43+O43+Q43+R43)</f>
        <v>969.0057750000001</v>
      </c>
      <c r="T43" s="75">
        <f>IF(Total_SimpleSell=0,0,S43/Total_SimpleSell*Total_GC)</f>
        <v>0</v>
      </c>
      <c r="U43" s="75">
        <f>(K43*(Prod_MaterialMU+1)*Prod_TaxRateMaterial+L43*(Prod_LaborMU+1)*Prod_TaxRateLabor+N43*(Prod_MaterialMU2+1)*Prod_TaxRateMaterial2+O43*(Prod_LaborMU2+1)*Prod_TaxRateLabor2+R43*Prod_TaxRateProfit+T43*TaxRateGC)</f>
        <v>0</v>
      </c>
      <c r="V43" s="75">
        <f>SUM(S43+T43+U43)</f>
        <v>969.0057750000001</v>
      </c>
    </row>
    <row r="44" spans="2:22" ht="12.75">
      <c r="B44" s="66"/>
      <c r="C44" s="66">
        <f>SUBTOTAL(9,C37:C43)</f>
        <v>10</v>
      </c>
      <c r="D44" s="66"/>
      <c r="E44" s="66"/>
      <c r="F44" s="66"/>
      <c r="G44" s="66"/>
      <c r="H44" s="66"/>
      <c r="I44" s="66"/>
      <c r="J44" s="71">
        <f>SUBTOTAL(9,J37:J43)</f>
        <v>870.5333333333335</v>
      </c>
      <c r="K44" s="76">
        <f>SUBTOTAL(9,K37:K43)</f>
        <v>1564.8019000000002</v>
      </c>
      <c r="L44" s="76">
        <f>SUBTOTAL(9,L37:L43)</f>
        <v>562.4584</v>
      </c>
      <c r="M44" s="71">
        <f>SUBTOTAL(9,M37:M43)</f>
        <v>28.122917500000003</v>
      </c>
      <c r="N44" s="76">
        <f>SUBTOTAL(9,N37:N43)</f>
        <v>0</v>
      </c>
      <c r="O44" s="76">
        <f>SUBTOTAL(9,O37:O43)</f>
        <v>200</v>
      </c>
      <c r="P44" s="71">
        <f>SUBTOTAL(9,P37:P43)</f>
        <v>5</v>
      </c>
      <c r="Q44" s="76">
        <f>SUBTOTAL(9,Q37:Q43)</f>
        <v>405.21771</v>
      </c>
      <c r="R44" s="76">
        <f>SUBTOTAL(9,R37:R43)</f>
        <v>1366.2390050000001</v>
      </c>
      <c r="S44" s="76">
        <f>SUBTOTAL(9,S37:S43)</f>
        <v>4098.717015</v>
      </c>
      <c r="T44" s="76">
        <f>SUBTOTAL(9,T37:T43)</f>
        <v>0</v>
      </c>
      <c r="U44" s="76">
        <f>SUBTOTAL(9,U37:U43)</f>
        <v>0</v>
      </c>
      <c r="V44" s="76">
        <f>SUBTOTAL(9,V37:V43)</f>
        <v>4098.717015</v>
      </c>
    </row>
    <row r="45" spans="3:23" ht="12.75">
      <c r="C45" s="114">
        <v>10</v>
      </c>
      <c r="D45" s="114" t="s">
        <v>416</v>
      </c>
      <c r="E45" s="114"/>
      <c r="F45" s="114"/>
      <c r="G45" s="114"/>
      <c r="H45" s="114"/>
      <c r="I45" s="114"/>
      <c r="J45" s="115">
        <f>J44/$C45</f>
        <v>87.05333333333336</v>
      </c>
      <c r="K45" s="116">
        <f>K44/$C45</f>
        <v>156.48019000000002</v>
      </c>
      <c r="L45" s="116">
        <f>L44/$C45</f>
        <v>56.24584</v>
      </c>
      <c r="M45" s="115">
        <f>M44/$C45</f>
        <v>2.8122917500000004</v>
      </c>
      <c r="N45" s="116">
        <f>N44/$C45</f>
        <v>0</v>
      </c>
      <c r="O45" s="116">
        <f>O44/$C45</f>
        <v>20</v>
      </c>
      <c r="P45" s="115">
        <f>P44/$C45</f>
        <v>0.5</v>
      </c>
      <c r="Q45" s="116"/>
      <c r="R45" s="116"/>
      <c r="S45" s="116">
        <f>S44/$C45</f>
        <v>409.87170150000003</v>
      </c>
      <c r="T45" s="116"/>
      <c r="U45" s="116"/>
      <c r="V45" s="116"/>
      <c r="W45" s="31" t="str">
        <f>FIXED(C45,0)&amp;" Units @ "&amp;DOLLAR(S45)&amp;" per Each"</f>
        <v>10 Units @ $409.87 per Each</v>
      </c>
    </row>
    <row r="46" spans="3:23" ht="12.75">
      <c r="C46" s="114">
        <v>23</v>
      </c>
      <c r="D46" s="114" t="s">
        <v>417</v>
      </c>
      <c r="E46" s="114"/>
      <c r="F46" s="114"/>
      <c r="G46" s="114"/>
      <c r="H46" s="114"/>
      <c r="I46" s="114"/>
      <c r="J46" s="115">
        <f>J44/$C46</f>
        <v>37.84927536231885</v>
      </c>
      <c r="K46" s="116">
        <f>K44/$C46</f>
        <v>68.03486521739131</v>
      </c>
      <c r="L46" s="116">
        <f>L44/$C46</f>
        <v>24.45471304347826</v>
      </c>
      <c r="M46" s="115">
        <f>M44/$C46</f>
        <v>1.222735543478261</v>
      </c>
      <c r="N46" s="116">
        <f>N44/$C46</f>
        <v>0</v>
      </c>
      <c r="O46" s="116">
        <f>O44/$C46</f>
        <v>8.695652173913043</v>
      </c>
      <c r="P46" s="115">
        <f>P45/$C46</f>
        <v>0.021739130434782608</v>
      </c>
      <c r="Q46" s="116"/>
      <c r="R46" s="116"/>
      <c r="S46" s="116">
        <f>S44/$C46</f>
        <v>178.20508760869566</v>
      </c>
      <c r="T46" s="116"/>
      <c r="U46" s="116"/>
      <c r="V46" s="116"/>
      <c r="W46" s="31" t="str">
        <f>FIXED(C46,1)&amp;" Linft. @ "&amp;DOLLAR(S46)&amp;" per Linft."</f>
        <v>23.0 Linft. @ $178.21 per Linft.</v>
      </c>
    </row>
    <row r="47" spans="10:22" ht="12.75">
      <c r="J47" s="45"/>
      <c r="K47" s="73"/>
      <c r="L47" s="73"/>
      <c r="M47" s="45"/>
      <c r="N47" s="73"/>
      <c r="O47" s="73"/>
      <c r="P47" s="45"/>
      <c r="Q47" s="73"/>
      <c r="R47" s="73"/>
      <c r="S47" s="73"/>
      <c r="T47" s="73"/>
      <c r="U47" s="73"/>
      <c r="V47" s="73"/>
    </row>
    <row r="48" spans="1:22" ht="15.75">
      <c r="A48" s="63" t="s">
        <v>421</v>
      </c>
      <c r="J48" s="45"/>
      <c r="K48" s="73"/>
      <c r="L48" s="73"/>
      <c r="M48" s="45"/>
      <c r="N48" s="73"/>
      <c r="O48" s="73"/>
      <c r="P48" s="45"/>
      <c r="Q48" s="73"/>
      <c r="R48" s="73"/>
      <c r="S48" s="73"/>
      <c r="T48" s="73"/>
      <c r="U48" s="73"/>
      <c r="V48" s="73"/>
    </row>
    <row r="49" spans="1:22" ht="12.75">
      <c r="A49" s="55">
        <f>Prod_FeeMU</f>
        <v>0.5</v>
      </c>
      <c r="J49" s="45"/>
      <c r="K49" s="73"/>
      <c r="L49" s="73"/>
      <c r="M49" s="45"/>
      <c r="N49" s="73"/>
      <c r="O49" s="73"/>
      <c r="P49" s="45"/>
      <c r="Q49" s="73"/>
      <c r="R49" s="73"/>
      <c r="S49" s="73"/>
      <c r="T49" s="73"/>
      <c r="U49" s="73"/>
      <c r="V49" s="73"/>
    </row>
    <row r="50" spans="2:22" ht="12.75">
      <c r="B50" s="64" t="s">
        <v>196</v>
      </c>
      <c r="C50" s="64" t="s">
        <v>197</v>
      </c>
      <c r="D50" s="64" t="s">
        <v>415</v>
      </c>
      <c r="E50" s="64" t="s">
        <v>199</v>
      </c>
      <c r="F50" s="64" t="s">
        <v>200</v>
      </c>
      <c r="G50" s="64" t="s">
        <v>201</v>
      </c>
      <c r="H50" s="64" t="s">
        <v>202</v>
      </c>
      <c r="I50" s="64" t="s">
        <v>203</v>
      </c>
      <c r="J50" s="69" t="s">
        <v>204</v>
      </c>
      <c r="K50" s="74" t="s">
        <v>205</v>
      </c>
      <c r="L50" s="74" t="s">
        <v>206</v>
      </c>
      <c r="M50" s="69" t="s">
        <v>207</v>
      </c>
      <c r="N50" s="74" t="s">
        <v>208</v>
      </c>
      <c r="O50" s="74" t="s">
        <v>209</v>
      </c>
      <c r="P50" s="69" t="s">
        <v>210</v>
      </c>
      <c r="Q50" s="74" t="s">
        <v>14</v>
      </c>
      <c r="R50" s="74" t="s">
        <v>12</v>
      </c>
      <c r="S50" s="74" t="s">
        <v>211</v>
      </c>
      <c r="T50" s="74" t="s">
        <v>212</v>
      </c>
      <c r="U50" s="74" t="s">
        <v>3</v>
      </c>
      <c r="V50" s="74" t="s">
        <v>213</v>
      </c>
    </row>
    <row r="51" spans="2:22" ht="12.75" outlineLevel="1">
      <c r="B51" s="65">
        <v>2</v>
      </c>
      <c r="C51" s="65">
        <v>2</v>
      </c>
      <c r="D51" s="65" t="s">
        <v>219</v>
      </c>
      <c r="E51" s="65" t="s">
        <v>221</v>
      </c>
      <c r="F51" s="65" t="s">
        <v>222</v>
      </c>
      <c r="G51" s="65"/>
      <c r="H51" s="65" t="s">
        <v>217</v>
      </c>
      <c r="I51" s="65" t="s">
        <v>223</v>
      </c>
      <c r="J51" s="70">
        <v>186.7</v>
      </c>
      <c r="K51" s="75">
        <v>352.2682</v>
      </c>
      <c r="L51" s="75">
        <v>147.3417</v>
      </c>
      <c r="M51" s="70">
        <v>7.367084</v>
      </c>
      <c r="N51" s="75">
        <v>0</v>
      </c>
      <c r="O51" s="75">
        <v>40</v>
      </c>
      <c r="P51" s="70">
        <v>1</v>
      </c>
      <c r="Q51" s="75">
        <f>K51*Prod_MaterialMU+L51*Prod_LaborMU+N51*Prod_MaterialMU2+O51*Prod_LaborMU2</f>
        <v>95.42933</v>
      </c>
      <c r="R51" s="75">
        <f>(K51+L51+N51+O51+Q51)*A$49</f>
        <v>317.51961499999993</v>
      </c>
      <c r="S51" s="75">
        <f>SUM(K51+L51+N51+O51+Q51+R51)</f>
        <v>952.5588449999998</v>
      </c>
      <c r="T51" s="75">
        <f>IF(Total_SimpleSell=0,0,S51/Total_SimpleSell*Total_GC)</f>
        <v>0</v>
      </c>
      <c r="U51" s="75">
        <f>(K51*(Prod_MaterialMU+1)*Prod_TaxRateMaterial+L51*(Prod_LaborMU+1)*Prod_TaxRateLabor+N51*(Prod_MaterialMU2+1)*Prod_TaxRateMaterial2+O51*(Prod_LaborMU2+1)*Prod_TaxRateLabor2+R51*Prod_TaxRateProfit+T51*TaxRateGC)</f>
        <v>0</v>
      </c>
      <c r="V51" s="75">
        <f>SUM(S51+T51+U51)</f>
        <v>952.5588449999998</v>
      </c>
    </row>
    <row r="52" spans="2:22" ht="12.75" outlineLevel="1">
      <c r="B52" s="65">
        <v>9</v>
      </c>
      <c r="C52" s="65">
        <v>2</v>
      </c>
      <c r="D52" s="65" t="s">
        <v>231</v>
      </c>
      <c r="E52" s="65" t="s">
        <v>221</v>
      </c>
      <c r="F52" s="65" t="s">
        <v>222</v>
      </c>
      <c r="G52" s="65"/>
      <c r="H52" s="65" t="s">
        <v>217</v>
      </c>
      <c r="I52" s="65" t="s">
        <v>223</v>
      </c>
      <c r="J52" s="70">
        <v>186.7</v>
      </c>
      <c r="K52" s="75">
        <v>352.2682</v>
      </c>
      <c r="L52" s="75">
        <v>147.3417</v>
      </c>
      <c r="M52" s="70">
        <v>7.367084</v>
      </c>
      <c r="N52" s="75">
        <v>0</v>
      </c>
      <c r="O52" s="75">
        <v>40</v>
      </c>
      <c r="P52" s="70">
        <v>1</v>
      </c>
      <c r="Q52" s="75">
        <f>K52*Prod_MaterialMU+L52*Prod_LaborMU+N52*Prod_MaterialMU2+O52*Prod_LaborMU2</f>
        <v>95.42933</v>
      </c>
      <c r="R52" s="75">
        <f>(K52+L52+N52+O52+Q52)*A$49</f>
        <v>317.51961499999993</v>
      </c>
      <c r="S52" s="75">
        <f>SUM(K52+L52+N52+O52+Q52+R52)</f>
        <v>952.5588449999998</v>
      </c>
      <c r="T52" s="75">
        <f>IF(Total_SimpleSell=0,0,S52/Total_SimpleSell*Total_GC)</f>
        <v>0</v>
      </c>
      <c r="U52" s="75">
        <f>(K52*(Prod_MaterialMU+1)*Prod_TaxRateMaterial+L52*(Prod_LaborMU+1)*Prod_TaxRateLabor+N52*(Prod_MaterialMU2+1)*Prod_TaxRateMaterial2+O52*(Prod_LaborMU2+1)*Prod_TaxRateLabor2+R52*Prod_TaxRateProfit+T52*TaxRateGC)</f>
        <v>0</v>
      </c>
      <c r="V52" s="75">
        <f>SUM(S52+T52+U52)</f>
        <v>952.5588449999998</v>
      </c>
    </row>
    <row r="53" spans="2:22" ht="12.75">
      <c r="B53" s="66"/>
      <c r="C53" s="66">
        <f>SUBTOTAL(9,C51:C52)</f>
        <v>4</v>
      </c>
      <c r="D53" s="66"/>
      <c r="E53" s="66"/>
      <c r="F53" s="66"/>
      <c r="G53" s="66"/>
      <c r="H53" s="66"/>
      <c r="I53" s="66"/>
      <c r="J53" s="71">
        <f>SUBTOTAL(9,J51:J52)</f>
        <v>373.4</v>
      </c>
      <c r="K53" s="76">
        <f>SUBTOTAL(9,K51:K52)</f>
        <v>704.5364</v>
      </c>
      <c r="L53" s="76">
        <f>SUBTOTAL(9,L51:L52)</f>
        <v>294.6834</v>
      </c>
      <c r="M53" s="71">
        <f>SUBTOTAL(9,M51:M52)</f>
        <v>14.734168</v>
      </c>
      <c r="N53" s="76">
        <f>SUBTOTAL(9,N51:N52)</f>
        <v>0</v>
      </c>
      <c r="O53" s="76">
        <f>SUBTOTAL(9,O51:O52)</f>
        <v>80</v>
      </c>
      <c r="P53" s="71">
        <f>SUBTOTAL(9,P51:P52)</f>
        <v>2</v>
      </c>
      <c r="Q53" s="76">
        <f>SUBTOTAL(9,Q51:Q52)</f>
        <v>190.85866</v>
      </c>
      <c r="R53" s="76">
        <f>SUBTOTAL(9,R51:R52)</f>
        <v>635.0392299999999</v>
      </c>
      <c r="S53" s="76">
        <f>SUBTOTAL(9,S51:S52)</f>
        <v>1905.1176899999996</v>
      </c>
      <c r="T53" s="76">
        <f>SUBTOTAL(9,T51:T52)</f>
        <v>0</v>
      </c>
      <c r="U53" s="76">
        <f>SUBTOTAL(9,U51:U52)</f>
        <v>0</v>
      </c>
      <c r="V53" s="76">
        <f>SUBTOTAL(9,V51:V52)</f>
        <v>1905.1176899999996</v>
      </c>
    </row>
    <row r="54" spans="3:23" ht="12.75">
      <c r="C54" s="114">
        <v>4</v>
      </c>
      <c r="D54" s="114" t="s">
        <v>416</v>
      </c>
      <c r="E54" s="114"/>
      <c r="F54" s="114"/>
      <c r="G54" s="114"/>
      <c r="H54" s="114"/>
      <c r="I54" s="114"/>
      <c r="J54" s="115">
        <f>J53/$C54</f>
        <v>93.35</v>
      </c>
      <c r="K54" s="116">
        <f>K53/$C54</f>
        <v>176.1341</v>
      </c>
      <c r="L54" s="116">
        <f>L53/$C54</f>
        <v>73.67085</v>
      </c>
      <c r="M54" s="115">
        <f>M53/$C54</f>
        <v>3.683542</v>
      </c>
      <c r="N54" s="116">
        <f>N53/$C54</f>
        <v>0</v>
      </c>
      <c r="O54" s="116">
        <f>O53/$C54</f>
        <v>20</v>
      </c>
      <c r="P54" s="115">
        <f>P53/$C54</f>
        <v>0.5</v>
      </c>
      <c r="Q54" s="116"/>
      <c r="R54" s="116"/>
      <c r="S54" s="116">
        <f>S53/$C54</f>
        <v>476.2794224999999</v>
      </c>
      <c r="T54" s="116"/>
      <c r="U54" s="116"/>
      <c r="V54" s="116"/>
      <c r="W54" s="31" t="str">
        <f>FIXED(C54,0)&amp;" Units @ "&amp;DOLLAR(S54)&amp;" per Each"</f>
        <v>4 Units @ $476.28 per Each</v>
      </c>
    </row>
    <row r="55" spans="3:23" ht="12.75">
      <c r="C55" s="114">
        <v>6</v>
      </c>
      <c r="D55" s="114" t="s">
        <v>417</v>
      </c>
      <c r="E55" s="114"/>
      <c r="F55" s="114"/>
      <c r="G55" s="114"/>
      <c r="H55" s="114"/>
      <c r="I55" s="114"/>
      <c r="J55" s="115">
        <f>J53/$C55</f>
        <v>62.23333333333333</v>
      </c>
      <c r="K55" s="116">
        <f>K53/$C55</f>
        <v>117.42273333333333</v>
      </c>
      <c r="L55" s="116">
        <f>L53/$C55</f>
        <v>49.1139</v>
      </c>
      <c r="M55" s="115">
        <f>M53/$C55</f>
        <v>2.4556946666666666</v>
      </c>
      <c r="N55" s="116">
        <f>N53/$C55</f>
        <v>0</v>
      </c>
      <c r="O55" s="116">
        <f>O53/$C55</f>
        <v>13.333333333333334</v>
      </c>
      <c r="P55" s="115">
        <f>P54/$C55</f>
        <v>0.08333333333333333</v>
      </c>
      <c r="Q55" s="116"/>
      <c r="R55" s="116"/>
      <c r="S55" s="116">
        <f>S53/$C55</f>
        <v>317.51961499999993</v>
      </c>
      <c r="T55" s="116"/>
      <c r="U55" s="116"/>
      <c r="V55" s="116"/>
      <c r="W55" s="31" t="str">
        <f>FIXED(C55,1)&amp;" Linft. @ "&amp;DOLLAR(S55)&amp;" per Linft."</f>
        <v>6.0 Linft. @ $317.52 per Linft.</v>
      </c>
    </row>
    <row r="56" spans="10:22" ht="12.75">
      <c r="J56" s="45"/>
      <c r="K56" s="73"/>
      <c r="L56" s="73"/>
      <c r="M56" s="45"/>
      <c r="N56" s="73"/>
      <c r="O56" s="73"/>
      <c r="P56" s="45"/>
      <c r="Q56" s="73"/>
      <c r="R56" s="73"/>
      <c r="S56" s="73"/>
      <c r="T56" s="73"/>
      <c r="U56" s="73"/>
      <c r="V56" s="73"/>
    </row>
    <row r="57" spans="1:22" ht="15.75">
      <c r="A57" s="63" t="s">
        <v>422</v>
      </c>
      <c r="J57" s="45"/>
      <c r="K57" s="73"/>
      <c r="L57" s="73"/>
      <c r="M57" s="45"/>
      <c r="N57" s="73"/>
      <c r="O57" s="73"/>
      <c r="P57" s="45"/>
      <c r="Q57" s="73"/>
      <c r="R57" s="73"/>
      <c r="S57" s="73"/>
      <c r="T57" s="73"/>
      <c r="U57" s="73"/>
      <c r="V57" s="73"/>
    </row>
    <row r="58" spans="1:22" ht="12.75">
      <c r="A58" s="55">
        <f>Prod_FeeMU</f>
        <v>0.5</v>
      </c>
      <c r="J58" s="45"/>
      <c r="K58" s="73"/>
      <c r="L58" s="73"/>
      <c r="M58" s="45"/>
      <c r="N58" s="73"/>
      <c r="O58" s="73"/>
      <c r="P58" s="45"/>
      <c r="Q58" s="73"/>
      <c r="R58" s="73"/>
      <c r="S58" s="73"/>
      <c r="T58" s="73"/>
      <c r="U58" s="73"/>
      <c r="V58" s="73"/>
    </row>
    <row r="59" spans="2:22" ht="12.75">
      <c r="B59" s="64" t="s">
        <v>196</v>
      </c>
      <c r="C59" s="64" t="s">
        <v>197</v>
      </c>
      <c r="D59" s="64" t="s">
        <v>415</v>
      </c>
      <c r="E59" s="64" t="s">
        <v>199</v>
      </c>
      <c r="F59" s="64" t="s">
        <v>200</v>
      </c>
      <c r="G59" s="64" t="s">
        <v>201</v>
      </c>
      <c r="H59" s="64" t="s">
        <v>202</v>
      </c>
      <c r="I59" s="64" t="s">
        <v>203</v>
      </c>
      <c r="J59" s="69" t="s">
        <v>204</v>
      </c>
      <c r="K59" s="74" t="s">
        <v>205</v>
      </c>
      <c r="L59" s="74" t="s">
        <v>206</v>
      </c>
      <c r="M59" s="69" t="s">
        <v>207</v>
      </c>
      <c r="N59" s="74" t="s">
        <v>208</v>
      </c>
      <c r="O59" s="74" t="s">
        <v>209</v>
      </c>
      <c r="P59" s="69" t="s">
        <v>210</v>
      </c>
      <c r="Q59" s="74" t="s">
        <v>14</v>
      </c>
      <c r="R59" s="74" t="s">
        <v>12</v>
      </c>
      <c r="S59" s="74" t="s">
        <v>211</v>
      </c>
      <c r="T59" s="74" t="s">
        <v>212</v>
      </c>
      <c r="U59" s="74" t="s">
        <v>3</v>
      </c>
      <c r="V59" s="74" t="s">
        <v>213</v>
      </c>
    </row>
    <row r="60" spans="2:22" ht="12.75" outlineLevel="1">
      <c r="B60" s="65">
        <v>19</v>
      </c>
      <c r="C60" s="65">
        <v>4</v>
      </c>
      <c r="D60" s="65" t="s">
        <v>232</v>
      </c>
      <c r="E60" s="65" t="s">
        <v>215</v>
      </c>
      <c r="F60" s="65" t="s">
        <v>222</v>
      </c>
      <c r="G60" s="65"/>
      <c r="H60" s="65" t="s">
        <v>217</v>
      </c>
      <c r="I60" s="65" t="s">
        <v>236</v>
      </c>
      <c r="J60" s="70">
        <v>180</v>
      </c>
      <c r="K60" s="75">
        <v>0</v>
      </c>
      <c r="L60" s="75">
        <v>0</v>
      </c>
      <c r="M60" s="70">
        <v>0</v>
      </c>
      <c r="N60" s="75">
        <v>1000</v>
      </c>
      <c r="O60" s="75">
        <v>0</v>
      </c>
      <c r="P60" s="70">
        <v>0</v>
      </c>
      <c r="Q60" s="75">
        <f>K60*Prod_MaterialMU+L60*Prod_LaborMU+N60*Prod_MaterialMU2+O60*Prod_LaborMU2</f>
        <v>200</v>
      </c>
      <c r="R60" s="75">
        <f>(K60+L60+N60+O60+Q60)*A$58</f>
        <v>600</v>
      </c>
      <c r="S60" s="75">
        <f>SUM(K60+L60+N60+O60+Q60+R60)</f>
        <v>1800</v>
      </c>
      <c r="T60" s="75">
        <f>IF(Total_SimpleSell=0,0,S60/Total_SimpleSell*Total_GC)</f>
        <v>0</v>
      </c>
      <c r="U60" s="75">
        <f>(K60*(Prod_MaterialMU+1)*Prod_TaxRateMaterial+L60*(Prod_LaborMU+1)*Prod_TaxRateLabor+N60*(Prod_MaterialMU2+1)*Prod_TaxRateMaterial2+O60*(Prod_LaborMU2+1)*Prod_TaxRateLabor2+R60*Prod_TaxRateProfit+T60*TaxRateGC)</f>
        <v>0</v>
      </c>
      <c r="V60" s="75">
        <f>SUM(S60+T60+U60)</f>
        <v>1800</v>
      </c>
    </row>
    <row r="61" spans="2:22" ht="12.75">
      <c r="B61" s="66"/>
      <c r="C61" s="66">
        <f>SUBTOTAL(9,C60:C60)</f>
        <v>4</v>
      </c>
      <c r="D61" s="66"/>
      <c r="E61" s="66"/>
      <c r="F61" s="66"/>
      <c r="G61" s="66"/>
      <c r="H61" s="66"/>
      <c r="I61" s="66"/>
      <c r="J61" s="71">
        <f>SUBTOTAL(9,J60:J60)</f>
        <v>180</v>
      </c>
      <c r="K61" s="76">
        <f>SUBTOTAL(9,K60:K60)</f>
        <v>0</v>
      </c>
      <c r="L61" s="76">
        <f>SUBTOTAL(9,L60:L60)</f>
        <v>0</v>
      </c>
      <c r="M61" s="71">
        <f>SUBTOTAL(9,M60:M60)</f>
        <v>0</v>
      </c>
      <c r="N61" s="76">
        <f>SUBTOTAL(9,N60:N60)</f>
        <v>1000</v>
      </c>
      <c r="O61" s="76">
        <f>SUBTOTAL(9,O60:O60)</f>
        <v>0</v>
      </c>
      <c r="P61" s="71">
        <f>SUBTOTAL(9,P60:P60)</f>
        <v>0</v>
      </c>
      <c r="Q61" s="76">
        <f>SUBTOTAL(9,Q60:Q60)</f>
        <v>200</v>
      </c>
      <c r="R61" s="76">
        <f>SUBTOTAL(9,R60:R60)</f>
        <v>600</v>
      </c>
      <c r="S61" s="76">
        <f>SUBTOTAL(9,S60:S60)</f>
        <v>1800</v>
      </c>
      <c r="T61" s="76">
        <f>SUBTOTAL(9,T60:T60)</f>
        <v>0</v>
      </c>
      <c r="U61" s="76">
        <f>SUBTOTAL(9,U60:U60)</f>
        <v>0</v>
      </c>
      <c r="V61" s="76">
        <f>SUBTOTAL(9,V60:V60)</f>
        <v>1800</v>
      </c>
    </row>
    <row r="62" spans="3:23" ht="12.75">
      <c r="C62" s="114">
        <v>4</v>
      </c>
      <c r="D62" s="114" t="s">
        <v>416</v>
      </c>
      <c r="E62" s="114"/>
      <c r="F62" s="114"/>
      <c r="G62" s="114"/>
      <c r="H62" s="114"/>
      <c r="I62" s="114"/>
      <c r="J62" s="115">
        <f>J61/$C62</f>
        <v>45</v>
      </c>
      <c r="K62" s="116">
        <f>K61/$C62</f>
        <v>0</v>
      </c>
      <c r="L62" s="116">
        <f>L61/$C62</f>
        <v>0</v>
      </c>
      <c r="M62" s="115">
        <f>M61/$C62</f>
        <v>0</v>
      </c>
      <c r="N62" s="116">
        <f>N61/$C62</f>
        <v>250</v>
      </c>
      <c r="O62" s="116">
        <f>O61/$C62</f>
        <v>0</v>
      </c>
      <c r="P62" s="115">
        <f>P61/$C62</f>
        <v>0</v>
      </c>
      <c r="Q62" s="116"/>
      <c r="R62" s="116"/>
      <c r="S62" s="116">
        <f>S61/$C62</f>
        <v>450</v>
      </c>
      <c r="T62" s="116"/>
      <c r="U62" s="116"/>
      <c r="V62" s="116"/>
      <c r="W62" s="31" t="str">
        <f>FIXED(C62,0)&amp;" Units @ "&amp;DOLLAR(S62)&amp;" per Each"</f>
        <v>4 Units @ $450.00 per Each</v>
      </c>
    </row>
    <row r="63" spans="3:23" ht="12.75">
      <c r="C63" s="114">
        <v>4</v>
      </c>
      <c r="D63" s="114" t="s">
        <v>416</v>
      </c>
      <c r="E63" s="114"/>
      <c r="F63" s="114"/>
      <c r="G63" s="114"/>
      <c r="H63" s="114"/>
      <c r="I63" s="114"/>
      <c r="J63" s="115">
        <f>J61/$C63</f>
        <v>45</v>
      </c>
      <c r="K63" s="116">
        <f>K61/$C63</f>
        <v>0</v>
      </c>
      <c r="L63" s="116">
        <f>L61/$C63</f>
        <v>0</v>
      </c>
      <c r="M63" s="115">
        <f>M61/$C63</f>
        <v>0</v>
      </c>
      <c r="N63" s="116">
        <f>N61/$C63</f>
        <v>250</v>
      </c>
      <c r="O63" s="116">
        <f>O61/$C63</f>
        <v>0</v>
      </c>
      <c r="P63" s="115">
        <f>P62/$C63</f>
        <v>0</v>
      </c>
      <c r="Q63" s="116"/>
      <c r="R63" s="116"/>
      <c r="S63" s="116">
        <f>S61/$C63</f>
        <v>450</v>
      </c>
      <c r="T63" s="116"/>
      <c r="U63" s="116"/>
      <c r="V63" s="116"/>
      <c r="W63" s="31" t="str">
        <f>FIXED(C63,1)&amp;" Each @ "&amp;DOLLAR(S63)&amp;" per Each"</f>
        <v>4.0 Each @ $450.00 per Each</v>
      </c>
    </row>
    <row r="64" spans="10:22" ht="12.75">
      <c r="J64" s="45"/>
      <c r="K64" s="73"/>
      <c r="L64" s="73"/>
      <c r="M64" s="45"/>
      <c r="N64" s="73"/>
      <c r="O64" s="73"/>
      <c r="P64" s="45"/>
      <c r="Q64" s="73"/>
      <c r="R64" s="73"/>
      <c r="S64" s="73"/>
      <c r="T64" s="73"/>
      <c r="U64" s="73"/>
      <c r="V64" s="73"/>
    </row>
    <row r="65" spans="1:22" ht="15.75">
      <c r="A65" s="63" t="s">
        <v>423</v>
      </c>
      <c r="J65" s="45"/>
      <c r="K65" s="73"/>
      <c r="L65" s="73"/>
      <c r="M65" s="45"/>
      <c r="N65" s="73"/>
      <c r="O65" s="73"/>
      <c r="P65" s="45"/>
      <c r="Q65" s="73"/>
      <c r="R65" s="73"/>
      <c r="S65" s="73"/>
      <c r="T65" s="73"/>
      <c r="U65" s="73"/>
      <c r="V65" s="73"/>
    </row>
    <row r="66" spans="1:22" ht="12.75">
      <c r="A66" s="55">
        <f>Prod_FeeMU</f>
        <v>0.5</v>
      </c>
      <c r="J66" s="45"/>
      <c r="K66" s="73"/>
      <c r="L66" s="73"/>
      <c r="M66" s="45"/>
      <c r="N66" s="73"/>
      <c r="O66" s="73"/>
      <c r="P66" s="45"/>
      <c r="Q66" s="73"/>
      <c r="R66" s="73"/>
      <c r="S66" s="73"/>
      <c r="T66" s="73"/>
      <c r="U66" s="73"/>
      <c r="V66" s="73"/>
    </row>
    <row r="67" spans="2:22" ht="12.75">
      <c r="B67" s="64" t="s">
        <v>196</v>
      </c>
      <c r="C67" s="64" t="s">
        <v>197</v>
      </c>
      <c r="D67" s="64" t="s">
        <v>415</v>
      </c>
      <c r="E67" s="64" t="s">
        <v>199</v>
      </c>
      <c r="F67" s="64" t="s">
        <v>200</v>
      </c>
      <c r="G67" s="64" t="s">
        <v>201</v>
      </c>
      <c r="H67" s="64" t="s">
        <v>202</v>
      </c>
      <c r="I67" s="64" t="s">
        <v>203</v>
      </c>
      <c r="J67" s="69" t="s">
        <v>204</v>
      </c>
      <c r="K67" s="74" t="s">
        <v>205</v>
      </c>
      <c r="L67" s="74" t="s">
        <v>206</v>
      </c>
      <c r="M67" s="69" t="s">
        <v>207</v>
      </c>
      <c r="N67" s="74" t="s">
        <v>208</v>
      </c>
      <c r="O67" s="74" t="s">
        <v>209</v>
      </c>
      <c r="P67" s="69" t="s">
        <v>210</v>
      </c>
      <c r="Q67" s="74" t="s">
        <v>14</v>
      </c>
      <c r="R67" s="74" t="s">
        <v>12</v>
      </c>
      <c r="S67" s="74" t="s">
        <v>211</v>
      </c>
      <c r="T67" s="74" t="s">
        <v>212</v>
      </c>
      <c r="U67" s="74" t="s">
        <v>3</v>
      </c>
      <c r="V67" s="74" t="s">
        <v>213</v>
      </c>
    </row>
    <row r="68" spans="2:22" ht="12.75" outlineLevel="1">
      <c r="B68" s="65">
        <v>1</v>
      </c>
      <c r="C68" s="65">
        <v>700</v>
      </c>
      <c r="D68" s="65" t="s">
        <v>195</v>
      </c>
      <c r="E68" s="65" t="s">
        <v>215</v>
      </c>
      <c r="F68" s="65" t="s">
        <v>216</v>
      </c>
      <c r="G68" s="65"/>
      <c r="H68" s="65" t="s">
        <v>217</v>
      </c>
      <c r="I68" s="65" t="s">
        <v>218</v>
      </c>
      <c r="J68" s="70">
        <v>840</v>
      </c>
      <c r="K68" s="75">
        <v>1050</v>
      </c>
      <c r="L68" s="75">
        <v>0</v>
      </c>
      <c r="M68" s="70">
        <v>0</v>
      </c>
      <c r="N68" s="75">
        <v>0</v>
      </c>
      <c r="O68" s="75">
        <v>2800</v>
      </c>
      <c r="P68" s="70">
        <v>70</v>
      </c>
      <c r="Q68" s="75">
        <f>K68*Prod_MaterialMU+L68*Prod_LaborMU+N68*Prod_MaterialMU2+O68*Prod_LaborMU2</f>
        <v>1225</v>
      </c>
      <c r="R68" s="75">
        <f>(K68+L68+N68+O68+Q68)*A$66</f>
        <v>2537.5</v>
      </c>
      <c r="S68" s="75">
        <f>SUM(K68+L68+N68+O68+Q68+R68)</f>
        <v>7612.5</v>
      </c>
      <c r="T68" s="75">
        <f>IF(Total_SimpleSell=0,0,S68/Total_SimpleSell*Total_GC)</f>
        <v>0</v>
      </c>
      <c r="U68" s="75">
        <f>(K68*(Prod_MaterialMU+1)*Prod_TaxRateMaterial+L68*(Prod_LaborMU+1)*Prod_TaxRateLabor+N68*(Prod_MaterialMU2+1)*Prod_TaxRateMaterial2+O68*(Prod_LaborMU2+1)*Prod_TaxRateLabor2+R68*Prod_TaxRateProfit+T68*TaxRateGC)</f>
        <v>0</v>
      </c>
      <c r="V68" s="75">
        <f>SUM(S68+T68+U68)</f>
        <v>7612.5</v>
      </c>
    </row>
    <row r="69" spans="2:22" ht="12.75" outlineLevel="1">
      <c r="B69" s="65">
        <v>8</v>
      </c>
      <c r="C69" s="65">
        <v>100</v>
      </c>
      <c r="D69" s="65" t="s">
        <v>219</v>
      </c>
      <c r="E69" s="65" t="s">
        <v>215</v>
      </c>
      <c r="F69" s="65" t="s">
        <v>216</v>
      </c>
      <c r="G69" s="65"/>
      <c r="H69" s="65" t="s">
        <v>217</v>
      </c>
      <c r="I69" s="65" t="s">
        <v>218</v>
      </c>
      <c r="J69" s="70">
        <v>120</v>
      </c>
      <c r="K69" s="75">
        <v>150</v>
      </c>
      <c r="L69" s="75">
        <v>0</v>
      </c>
      <c r="M69" s="70">
        <v>0</v>
      </c>
      <c r="N69" s="75">
        <v>0</v>
      </c>
      <c r="O69" s="75">
        <v>400</v>
      </c>
      <c r="P69" s="70">
        <v>10</v>
      </c>
      <c r="Q69" s="75">
        <f>K69*Prod_MaterialMU+L69*Prod_LaborMU+N69*Prod_MaterialMU2+O69*Prod_LaborMU2</f>
        <v>175</v>
      </c>
      <c r="R69" s="75">
        <f>(K69+L69+N69+O69+Q69)*A$66</f>
        <v>362.5</v>
      </c>
      <c r="S69" s="75">
        <f>SUM(K69+L69+N69+O69+Q69+R69)</f>
        <v>1087.5</v>
      </c>
      <c r="T69" s="75">
        <f>IF(Total_SimpleSell=0,0,S69/Total_SimpleSell*Total_GC)</f>
        <v>0</v>
      </c>
      <c r="U69" s="75">
        <f>(K69*(Prod_MaterialMU+1)*Prod_TaxRateMaterial+L69*(Prod_LaborMU+1)*Prod_TaxRateLabor+N69*(Prod_MaterialMU2+1)*Prod_TaxRateMaterial2+O69*(Prod_LaborMU2+1)*Prod_TaxRateLabor2+R69*Prod_TaxRateProfit+T69*TaxRateGC)</f>
        <v>0</v>
      </c>
      <c r="V69" s="75">
        <f>SUM(S69+T69+U69)</f>
        <v>1087.5</v>
      </c>
    </row>
    <row r="70" spans="2:22" ht="12.75" outlineLevel="1">
      <c r="B70" s="65">
        <v>15</v>
      </c>
      <c r="C70" s="65">
        <v>100</v>
      </c>
      <c r="D70" s="65" t="s">
        <v>231</v>
      </c>
      <c r="E70" s="65" t="s">
        <v>215</v>
      </c>
      <c r="F70" s="65" t="s">
        <v>216</v>
      </c>
      <c r="G70" s="65"/>
      <c r="H70" s="65" t="s">
        <v>217</v>
      </c>
      <c r="I70" s="65" t="s">
        <v>218</v>
      </c>
      <c r="J70" s="70">
        <v>120</v>
      </c>
      <c r="K70" s="75">
        <v>150</v>
      </c>
      <c r="L70" s="75">
        <v>0</v>
      </c>
      <c r="M70" s="70">
        <v>0</v>
      </c>
      <c r="N70" s="75">
        <v>0</v>
      </c>
      <c r="O70" s="75">
        <v>400</v>
      </c>
      <c r="P70" s="70">
        <v>10</v>
      </c>
      <c r="Q70" s="75">
        <f>K70*Prod_MaterialMU+L70*Prod_LaborMU+N70*Prod_MaterialMU2+O70*Prod_LaborMU2</f>
        <v>175</v>
      </c>
      <c r="R70" s="75">
        <f>(K70+L70+N70+O70+Q70)*A$66</f>
        <v>362.5</v>
      </c>
      <c r="S70" s="75">
        <f>SUM(K70+L70+N70+O70+Q70+R70)</f>
        <v>1087.5</v>
      </c>
      <c r="T70" s="75">
        <f>IF(Total_SimpleSell=0,0,S70/Total_SimpleSell*Total_GC)</f>
        <v>0</v>
      </c>
      <c r="U70" s="75">
        <f>(K70*(Prod_MaterialMU+1)*Prod_TaxRateMaterial+L70*(Prod_LaborMU+1)*Prod_TaxRateLabor+N70*(Prod_MaterialMU2+1)*Prod_TaxRateMaterial2+O70*(Prod_LaborMU2+1)*Prod_TaxRateLabor2+R70*Prod_TaxRateProfit+T70*TaxRateGC)</f>
        <v>0</v>
      </c>
      <c r="V70" s="75">
        <f>SUM(S70+T70+U70)</f>
        <v>1087.5</v>
      </c>
    </row>
    <row r="71" spans="2:22" ht="12.75">
      <c r="B71" s="66"/>
      <c r="C71" s="66">
        <f>SUBTOTAL(9,C68:C70)</f>
        <v>900</v>
      </c>
      <c r="D71" s="66"/>
      <c r="E71" s="66"/>
      <c r="F71" s="66"/>
      <c r="G71" s="66"/>
      <c r="H71" s="66"/>
      <c r="I71" s="66"/>
      <c r="J71" s="71">
        <f>SUBTOTAL(9,J68:J70)</f>
        <v>1080</v>
      </c>
      <c r="K71" s="76">
        <f>SUBTOTAL(9,K68:K70)</f>
        <v>1350</v>
      </c>
      <c r="L71" s="76">
        <f>SUBTOTAL(9,L68:L70)</f>
        <v>0</v>
      </c>
      <c r="M71" s="71">
        <f>SUBTOTAL(9,M68:M70)</f>
        <v>0</v>
      </c>
      <c r="N71" s="76">
        <f>SUBTOTAL(9,N68:N70)</f>
        <v>0</v>
      </c>
      <c r="O71" s="76">
        <f>SUBTOTAL(9,O68:O70)</f>
        <v>3600</v>
      </c>
      <c r="P71" s="71">
        <f>SUBTOTAL(9,P68:P70)</f>
        <v>90</v>
      </c>
      <c r="Q71" s="76">
        <f>SUBTOTAL(9,Q68:Q70)</f>
        <v>1575</v>
      </c>
      <c r="R71" s="76">
        <f>SUBTOTAL(9,R68:R70)</f>
        <v>3262.5</v>
      </c>
      <c r="S71" s="76">
        <f>SUBTOTAL(9,S68:S70)</f>
        <v>9787.5</v>
      </c>
      <c r="T71" s="76">
        <f>SUBTOTAL(9,T68:T70)</f>
        <v>0</v>
      </c>
      <c r="U71" s="76">
        <f>SUBTOTAL(9,U68:U70)</f>
        <v>0</v>
      </c>
      <c r="V71" s="76">
        <f>SUBTOTAL(9,V68:V70)</f>
        <v>9787.5</v>
      </c>
    </row>
    <row r="72" spans="3:23" ht="12.75">
      <c r="C72" s="114">
        <v>900</v>
      </c>
      <c r="D72" s="114" t="s">
        <v>417</v>
      </c>
      <c r="E72" s="114"/>
      <c r="F72" s="114"/>
      <c r="G72" s="114"/>
      <c r="H72" s="114"/>
      <c r="I72" s="114"/>
      <c r="J72" s="115">
        <f>J71/$C72</f>
        <v>1.2</v>
      </c>
      <c r="K72" s="116">
        <f>K71/$C72</f>
        <v>1.5</v>
      </c>
      <c r="L72" s="116">
        <f>L71/$C72</f>
        <v>0</v>
      </c>
      <c r="M72" s="115">
        <f>M71/$C72</f>
        <v>0</v>
      </c>
      <c r="N72" s="116">
        <f>N71/$C72</f>
        <v>0</v>
      </c>
      <c r="O72" s="116">
        <f>O71/$C72</f>
        <v>4</v>
      </c>
      <c r="P72" s="115">
        <f>P71/$C72</f>
        <v>0.1</v>
      </c>
      <c r="Q72" s="116"/>
      <c r="R72" s="116"/>
      <c r="S72" s="116">
        <f>S71/$C72</f>
        <v>10.875</v>
      </c>
      <c r="T72" s="116"/>
      <c r="U72" s="116"/>
      <c r="V72" s="116"/>
      <c r="W72" s="31" t="str">
        <f>FIXED(C72,0)&amp;" Units @ "&amp;DOLLAR(S72)&amp;" per Linft."</f>
        <v>900 Units @ $10.88 per Linft.</v>
      </c>
    </row>
    <row r="73" spans="3:23" ht="12.75">
      <c r="C73" s="114">
        <v>900</v>
      </c>
      <c r="D73" s="114" t="s">
        <v>417</v>
      </c>
      <c r="E73" s="114"/>
      <c r="F73" s="114"/>
      <c r="G73" s="114"/>
      <c r="H73" s="114"/>
      <c r="I73" s="114"/>
      <c r="J73" s="115">
        <f>J71/$C73</f>
        <v>1.2</v>
      </c>
      <c r="K73" s="116">
        <f>K71/$C73</f>
        <v>1.5</v>
      </c>
      <c r="L73" s="116">
        <f>L71/$C73</f>
        <v>0</v>
      </c>
      <c r="M73" s="115">
        <f>M71/$C73</f>
        <v>0</v>
      </c>
      <c r="N73" s="116">
        <f>N71/$C73</f>
        <v>0</v>
      </c>
      <c r="O73" s="116">
        <f>O71/$C73</f>
        <v>4</v>
      </c>
      <c r="P73" s="115">
        <f>P72/$C73</f>
        <v>0.00011111111111111112</v>
      </c>
      <c r="Q73" s="116"/>
      <c r="R73" s="116"/>
      <c r="S73" s="116">
        <f>S71/$C73</f>
        <v>10.875</v>
      </c>
      <c r="T73" s="116"/>
      <c r="U73" s="116"/>
      <c r="V73" s="116"/>
      <c r="W73" s="31" t="str">
        <f>FIXED(C73,1)&amp;" Linft. @ "&amp;DOLLAR(S73)&amp;" per Linft."</f>
        <v>900.0 Linft. @ $10.88 per Linft.</v>
      </c>
    </row>
    <row r="74" spans="10:22" ht="12.75">
      <c r="J74" s="45"/>
      <c r="K74" s="73"/>
      <c r="L74" s="73"/>
      <c r="M74" s="45"/>
      <c r="N74" s="73"/>
      <c r="O74" s="73"/>
      <c r="P74" s="45"/>
      <c r="Q74" s="73"/>
      <c r="R74" s="73"/>
      <c r="S74" s="73"/>
      <c r="T74" s="73"/>
      <c r="U74" s="73"/>
      <c r="V74" s="73"/>
    </row>
    <row r="75" spans="1:22" ht="15.75">
      <c r="A75" s="63" t="s">
        <v>424</v>
      </c>
      <c r="J75" s="45"/>
      <c r="K75" s="73"/>
      <c r="L75" s="73"/>
      <c r="M75" s="45"/>
      <c r="N75" s="73"/>
      <c r="O75" s="73"/>
      <c r="P75" s="45"/>
      <c r="Q75" s="73"/>
      <c r="R75" s="73"/>
      <c r="S75" s="73"/>
      <c r="T75" s="73"/>
      <c r="U75" s="73"/>
      <c r="V75" s="73"/>
    </row>
    <row r="76" spans="1:22" ht="12.75">
      <c r="A76" s="55">
        <f>Prod_FeeMU</f>
        <v>0.5</v>
      </c>
      <c r="J76" s="45"/>
      <c r="K76" s="73"/>
      <c r="L76" s="73"/>
      <c r="M76" s="45"/>
      <c r="N76" s="73"/>
      <c r="O76" s="73"/>
      <c r="P76" s="45"/>
      <c r="Q76" s="73"/>
      <c r="R76" s="73"/>
      <c r="S76" s="73"/>
      <c r="T76" s="73"/>
      <c r="U76" s="73"/>
      <c r="V76" s="73"/>
    </row>
    <row r="77" spans="2:22" ht="12.75">
      <c r="B77" s="64" t="s">
        <v>196</v>
      </c>
      <c r="C77" s="64" t="s">
        <v>197</v>
      </c>
      <c r="D77" s="64" t="s">
        <v>415</v>
      </c>
      <c r="E77" s="64" t="s">
        <v>199</v>
      </c>
      <c r="F77" s="64" t="s">
        <v>200</v>
      </c>
      <c r="G77" s="64" t="s">
        <v>201</v>
      </c>
      <c r="H77" s="64" t="s">
        <v>202</v>
      </c>
      <c r="I77" s="64" t="s">
        <v>203</v>
      </c>
      <c r="J77" s="69" t="s">
        <v>204</v>
      </c>
      <c r="K77" s="74" t="s">
        <v>205</v>
      </c>
      <c r="L77" s="74" t="s">
        <v>206</v>
      </c>
      <c r="M77" s="69" t="s">
        <v>207</v>
      </c>
      <c r="N77" s="74" t="s">
        <v>208</v>
      </c>
      <c r="O77" s="74" t="s">
        <v>209</v>
      </c>
      <c r="P77" s="69" t="s">
        <v>210</v>
      </c>
      <c r="Q77" s="74" t="s">
        <v>14</v>
      </c>
      <c r="R77" s="74" t="s">
        <v>12</v>
      </c>
      <c r="S77" s="74" t="s">
        <v>211</v>
      </c>
      <c r="T77" s="74" t="s">
        <v>212</v>
      </c>
      <c r="U77" s="74" t="s">
        <v>3</v>
      </c>
      <c r="V77" s="74" t="s">
        <v>213</v>
      </c>
    </row>
    <row r="78" spans="2:22" ht="12.75" outlineLevel="1">
      <c r="B78" s="65">
        <v>7</v>
      </c>
      <c r="C78" s="65">
        <v>1</v>
      </c>
      <c r="D78" s="65" t="s">
        <v>219</v>
      </c>
      <c r="E78" s="65" t="s">
        <v>230</v>
      </c>
      <c r="F78" s="65" t="s">
        <v>216</v>
      </c>
      <c r="G78" s="65"/>
      <c r="H78" s="65" t="s">
        <v>217</v>
      </c>
      <c r="I78" s="65" t="s">
        <v>223</v>
      </c>
      <c r="J78" s="70">
        <v>43.617749999999994</v>
      </c>
      <c r="K78" s="75">
        <v>49.8059</v>
      </c>
      <c r="L78" s="75">
        <v>24.9107</v>
      </c>
      <c r="M78" s="70">
        <v>1.245534125</v>
      </c>
      <c r="N78" s="75">
        <v>0</v>
      </c>
      <c r="O78" s="75">
        <v>10</v>
      </c>
      <c r="P78" s="70">
        <v>0.25</v>
      </c>
      <c r="Q78" s="75">
        <f>K78*Prod_MaterialMU+L78*Prod_LaborMU+N78*Prod_MaterialMU2+O78*Prod_LaborMU2</f>
        <v>16.4538</v>
      </c>
      <c r="R78" s="75">
        <f>(K78+L78+N78+O78+Q78)*A$76</f>
        <v>50.5852</v>
      </c>
      <c r="S78" s="75">
        <f>SUM(K78+L78+N78+O78+Q78+R78)</f>
        <v>151.75560000000002</v>
      </c>
      <c r="T78" s="75">
        <f>IF(Total_SimpleSell=0,0,S78/Total_SimpleSell*Total_GC)</f>
        <v>0</v>
      </c>
      <c r="U78" s="75">
        <f>(K78*(Prod_MaterialMU+1)*Prod_TaxRateMaterial+L78*(Prod_LaborMU+1)*Prod_TaxRateLabor+N78*(Prod_MaterialMU2+1)*Prod_TaxRateMaterial2+O78*(Prod_LaborMU2+1)*Prod_TaxRateLabor2+R78*Prod_TaxRateProfit+T78*TaxRateGC)</f>
        <v>0</v>
      </c>
      <c r="V78" s="75">
        <f>SUM(S78+T78+U78)</f>
        <v>151.75560000000002</v>
      </c>
    </row>
    <row r="79" spans="2:22" ht="12.75" outlineLevel="1">
      <c r="B79" s="65">
        <v>14</v>
      </c>
      <c r="C79" s="65">
        <v>1</v>
      </c>
      <c r="D79" s="65" t="s">
        <v>231</v>
      </c>
      <c r="E79" s="65" t="s">
        <v>230</v>
      </c>
      <c r="F79" s="65" t="s">
        <v>216</v>
      </c>
      <c r="G79" s="65"/>
      <c r="H79" s="65" t="s">
        <v>217</v>
      </c>
      <c r="I79" s="65" t="s">
        <v>223</v>
      </c>
      <c r="J79" s="70">
        <v>43.617749999999994</v>
      </c>
      <c r="K79" s="75">
        <v>49.8059</v>
      </c>
      <c r="L79" s="75">
        <v>24.9107</v>
      </c>
      <c r="M79" s="70">
        <v>1.245534125</v>
      </c>
      <c r="N79" s="75">
        <v>0</v>
      </c>
      <c r="O79" s="75">
        <v>10</v>
      </c>
      <c r="P79" s="70">
        <v>0.25</v>
      </c>
      <c r="Q79" s="75">
        <f>K79*Prod_MaterialMU+L79*Prod_LaborMU+N79*Prod_MaterialMU2+O79*Prod_LaborMU2</f>
        <v>16.4538</v>
      </c>
      <c r="R79" s="75">
        <f>(K79+L79+N79+O79+Q79)*A$76</f>
        <v>50.5852</v>
      </c>
      <c r="S79" s="75">
        <f>SUM(K79+L79+N79+O79+Q79+R79)</f>
        <v>151.75560000000002</v>
      </c>
      <c r="T79" s="75">
        <f>IF(Total_SimpleSell=0,0,S79/Total_SimpleSell*Total_GC)</f>
        <v>0</v>
      </c>
      <c r="U79" s="75">
        <f>(K79*(Prod_MaterialMU+1)*Prod_TaxRateMaterial+L79*(Prod_LaborMU+1)*Prod_TaxRateLabor+N79*(Prod_MaterialMU2+1)*Prod_TaxRateMaterial2+O79*(Prod_LaborMU2+1)*Prod_TaxRateLabor2+R79*Prod_TaxRateProfit+T79*TaxRateGC)</f>
        <v>0</v>
      </c>
      <c r="V79" s="75">
        <f>SUM(S79+T79+U79)</f>
        <v>151.75560000000002</v>
      </c>
    </row>
    <row r="80" spans="2:22" ht="12.75">
      <c r="B80" s="66"/>
      <c r="C80" s="66">
        <f>SUBTOTAL(9,C78:C79)</f>
        <v>2</v>
      </c>
      <c r="D80" s="66"/>
      <c r="E80" s="66"/>
      <c r="F80" s="66"/>
      <c r="G80" s="66"/>
      <c r="H80" s="66"/>
      <c r="I80" s="66"/>
      <c r="J80" s="71">
        <f>SUBTOTAL(9,J78:J79)</f>
        <v>87.23549999999999</v>
      </c>
      <c r="K80" s="76">
        <f>SUBTOTAL(9,K78:K79)</f>
        <v>99.6118</v>
      </c>
      <c r="L80" s="76">
        <f>SUBTOTAL(9,L78:L79)</f>
        <v>49.8214</v>
      </c>
      <c r="M80" s="71">
        <f>SUBTOTAL(9,M78:M79)</f>
        <v>2.49106825</v>
      </c>
      <c r="N80" s="76">
        <f>SUBTOTAL(9,N78:N79)</f>
        <v>0</v>
      </c>
      <c r="O80" s="76">
        <f>SUBTOTAL(9,O78:O79)</f>
        <v>20</v>
      </c>
      <c r="P80" s="71">
        <f>SUBTOTAL(9,P78:P79)</f>
        <v>0.5</v>
      </c>
      <c r="Q80" s="76">
        <f>SUBTOTAL(9,Q78:Q79)</f>
        <v>32.9076</v>
      </c>
      <c r="R80" s="76">
        <f>SUBTOTAL(9,R78:R79)</f>
        <v>101.1704</v>
      </c>
      <c r="S80" s="76">
        <f>SUBTOTAL(9,S78:S79)</f>
        <v>303.51120000000003</v>
      </c>
      <c r="T80" s="76">
        <f>SUBTOTAL(9,T78:T79)</f>
        <v>0</v>
      </c>
      <c r="U80" s="76">
        <f>SUBTOTAL(9,U78:U79)</f>
        <v>0</v>
      </c>
      <c r="V80" s="76">
        <f>SUBTOTAL(9,V78:V79)</f>
        <v>303.51120000000003</v>
      </c>
    </row>
    <row r="81" spans="3:23" ht="12.75">
      <c r="C81" s="114">
        <v>2</v>
      </c>
      <c r="D81" s="114" t="s">
        <v>416</v>
      </c>
      <c r="E81" s="114"/>
      <c r="F81" s="114"/>
      <c r="G81" s="114"/>
      <c r="H81" s="114"/>
      <c r="I81" s="114"/>
      <c r="J81" s="115">
        <f>J80/$C81</f>
        <v>43.617749999999994</v>
      </c>
      <c r="K81" s="116">
        <f>K80/$C81</f>
        <v>49.8059</v>
      </c>
      <c r="L81" s="116">
        <f>L80/$C81</f>
        <v>24.9107</v>
      </c>
      <c r="M81" s="115">
        <f>M80/$C81</f>
        <v>1.245534125</v>
      </c>
      <c r="N81" s="116">
        <f>N80/$C81</f>
        <v>0</v>
      </c>
      <c r="O81" s="116">
        <f>O80/$C81</f>
        <v>10</v>
      </c>
      <c r="P81" s="115">
        <f>P80/$C81</f>
        <v>0.25</v>
      </c>
      <c r="Q81" s="116"/>
      <c r="R81" s="116"/>
      <c r="S81" s="116">
        <f>S80/$C81</f>
        <v>151.75560000000002</v>
      </c>
      <c r="T81" s="116"/>
      <c r="U81" s="116"/>
      <c r="V81" s="116"/>
      <c r="W81" s="31" t="str">
        <f>FIXED(C81,0)&amp;" Units @ "&amp;DOLLAR(S81)&amp;" per Each"</f>
        <v>2 Units @ $151.76 per Each</v>
      </c>
    </row>
    <row r="82" spans="3:23" ht="12.75">
      <c r="C82" s="114">
        <v>5</v>
      </c>
      <c r="D82" s="114" t="s">
        <v>417</v>
      </c>
      <c r="E82" s="114"/>
      <c r="F82" s="114"/>
      <c r="G82" s="114"/>
      <c r="H82" s="114"/>
      <c r="I82" s="114"/>
      <c r="J82" s="115">
        <f>J80/$C82</f>
        <v>17.4471</v>
      </c>
      <c r="K82" s="116">
        <f>K80/$C82</f>
        <v>19.92236</v>
      </c>
      <c r="L82" s="116">
        <f>L80/$C82</f>
        <v>9.964279999999999</v>
      </c>
      <c r="M82" s="115">
        <f>M80/$C82</f>
        <v>0.49821365</v>
      </c>
      <c r="N82" s="116">
        <f>N80/$C82</f>
        <v>0</v>
      </c>
      <c r="O82" s="116">
        <f>O80/$C82</f>
        <v>4</v>
      </c>
      <c r="P82" s="115">
        <f>P81/$C82</f>
        <v>0.05</v>
      </c>
      <c r="Q82" s="116"/>
      <c r="R82" s="116"/>
      <c r="S82" s="116">
        <f>S80/$C82</f>
        <v>60.70224</v>
      </c>
      <c r="T82" s="116"/>
      <c r="U82" s="116"/>
      <c r="V82" s="116"/>
      <c r="W82" s="31" t="str">
        <f>FIXED(C82,1)&amp;" Linft. @ "&amp;DOLLAR(S82)&amp;" per Linft."</f>
        <v>5.0 Linft. @ $60.70 per Linft.</v>
      </c>
    </row>
    <row r="83" spans="10:22" ht="12.75">
      <c r="J83" s="45"/>
      <c r="K83" s="73"/>
      <c r="L83" s="73"/>
      <c r="M83" s="45"/>
      <c r="N83" s="73"/>
      <c r="O83" s="73"/>
      <c r="P83" s="45"/>
      <c r="Q83" s="73"/>
      <c r="R83" s="73"/>
      <c r="S83" s="73"/>
      <c r="T83" s="73"/>
      <c r="U83" s="73"/>
      <c r="V83" s="73"/>
    </row>
    <row r="84" spans="1:22" ht="15.75">
      <c r="A84" s="63" t="s">
        <v>425</v>
      </c>
      <c r="J84" s="45"/>
      <c r="K84" s="73"/>
      <c r="L84" s="73"/>
      <c r="M84" s="45"/>
      <c r="N84" s="73"/>
      <c r="O84" s="73"/>
      <c r="P84" s="45"/>
      <c r="Q84" s="73"/>
      <c r="R84" s="73"/>
      <c r="S84" s="73"/>
      <c r="T84" s="73"/>
      <c r="U84" s="73"/>
      <c r="V84" s="73"/>
    </row>
    <row r="85" spans="1:22" ht="12.75">
      <c r="A85" s="55">
        <f>Prod_FeeMU</f>
        <v>0.5</v>
      </c>
      <c r="J85" s="45"/>
      <c r="K85" s="73"/>
      <c r="L85" s="73"/>
      <c r="M85" s="45"/>
      <c r="N85" s="73"/>
      <c r="O85" s="73"/>
      <c r="P85" s="45"/>
      <c r="Q85" s="73"/>
      <c r="R85" s="73"/>
      <c r="S85" s="73"/>
      <c r="T85" s="73"/>
      <c r="U85" s="73"/>
      <c r="V85" s="73"/>
    </row>
    <row r="86" spans="2:22" ht="12.75">
      <c r="B86" s="64" t="s">
        <v>196</v>
      </c>
      <c r="C86" s="64" t="s">
        <v>197</v>
      </c>
      <c r="D86" s="64" t="s">
        <v>415</v>
      </c>
      <c r="E86" s="64" t="s">
        <v>199</v>
      </c>
      <c r="F86" s="64" t="s">
        <v>200</v>
      </c>
      <c r="G86" s="64" t="s">
        <v>201</v>
      </c>
      <c r="H86" s="64" t="s">
        <v>202</v>
      </c>
      <c r="I86" s="64" t="s">
        <v>203</v>
      </c>
      <c r="J86" s="69" t="s">
        <v>204</v>
      </c>
      <c r="K86" s="74" t="s">
        <v>205</v>
      </c>
      <c r="L86" s="74" t="s">
        <v>206</v>
      </c>
      <c r="M86" s="69" t="s">
        <v>207</v>
      </c>
      <c r="N86" s="74" t="s">
        <v>208</v>
      </c>
      <c r="O86" s="74" t="s">
        <v>209</v>
      </c>
      <c r="P86" s="69" t="s">
        <v>210</v>
      </c>
      <c r="Q86" s="74" t="s">
        <v>14</v>
      </c>
      <c r="R86" s="74" t="s">
        <v>12</v>
      </c>
      <c r="S86" s="74" t="s">
        <v>211</v>
      </c>
      <c r="T86" s="74" t="s">
        <v>212</v>
      </c>
      <c r="U86" s="74" t="s">
        <v>3</v>
      </c>
      <c r="V86" s="74" t="s">
        <v>213</v>
      </c>
    </row>
    <row r="87" spans="2:22" ht="12.75" outlineLevel="1">
      <c r="B87" s="65">
        <v>23</v>
      </c>
      <c r="C87" s="65">
        <v>1</v>
      </c>
      <c r="D87" s="65" t="s">
        <v>246</v>
      </c>
      <c r="E87" s="65" t="s">
        <v>255</v>
      </c>
      <c r="F87" s="65" t="s">
        <v>216</v>
      </c>
      <c r="G87" s="65"/>
      <c r="H87" s="65" t="s">
        <v>217</v>
      </c>
      <c r="I87" s="65" t="s">
        <v>223</v>
      </c>
      <c r="J87" s="70">
        <v>51.73694444444445</v>
      </c>
      <c r="K87" s="75">
        <v>50.0562</v>
      </c>
      <c r="L87" s="75">
        <v>38.1079</v>
      </c>
      <c r="M87" s="70">
        <v>1.905395583333333</v>
      </c>
      <c r="N87" s="75">
        <v>0</v>
      </c>
      <c r="O87" s="75">
        <v>39.6667</v>
      </c>
      <c r="P87" s="70">
        <v>0.9916666666666667</v>
      </c>
      <c r="Q87" s="75">
        <f>K87*Prod_MaterialMU+L87*Prod_LaborMU+N87*Prod_MaterialMU2+O87*Prod_LaborMU2</f>
        <v>32.30467</v>
      </c>
      <c r="R87" s="75">
        <f>(K87+L87+N87+O87+Q87)*A$85</f>
        <v>80.067735</v>
      </c>
      <c r="S87" s="75">
        <f>SUM(K87+L87+N87+O87+Q87+R87)</f>
        <v>240.203205</v>
      </c>
      <c r="T87" s="75">
        <f>IF(Total_SimpleSell=0,0,S87/Total_SimpleSell*Total_GC)</f>
        <v>0</v>
      </c>
      <c r="U87" s="75">
        <f>(K87*(Prod_MaterialMU+1)*Prod_TaxRateMaterial+L87*(Prod_LaborMU+1)*Prod_TaxRateLabor+N87*(Prod_MaterialMU2+1)*Prod_TaxRateMaterial2+O87*(Prod_LaborMU2+1)*Prod_TaxRateLabor2+R87*Prod_TaxRateProfit+T87*TaxRateGC)</f>
        <v>0</v>
      </c>
      <c r="V87" s="75">
        <f>SUM(S87+T87+U87)</f>
        <v>240.203205</v>
      </c>
    </row>
    <row r="88" spans="2:22" ht="12.75">
      <c r="B88" s="66"/>
      <c r="C88" s="66">
        <f>SUBTOTAL(9,C87:C87)</f>
        <v>1</v>
      </c>
      <c r="D88" s="66"/>
      <c r="E88" s="66"/>
      <c r="F88" s="66"/>
      <c r="G88" s="66"/>
      <c r="H88" s="66"/>
      <c r="I88" s="66"/>
      <c r="J88" s="71">
        <f>SUBTOTAL(9,J87:J87)</f>
        <v>51.73694444444445</v>
      </c>
      <c r="K88" s="76">
        <f>SUBTOTAL(9,K87:K87)</f>
        <v>50.0562</v>
      </c>
      <c r="L88" s="76">
        <f>SUBTOTAL(9,L87:L87)</f>
        <v>38.1079</v>
      </c>
      <c r="M88" s="71">
        <f>SUBTOTAL(9,M87:M87)</f>
        <v>1.905395583333333</v>
      </c>
      <c r="N88" s="76">
        <f>SUBTOTAL(9,N87:N87)</f>
        <v>0</v>
      </c>
      <c r="O88" s="76">
        <f>SUBTOTAL(9,O87:O87)</f>
        <v>39.6667</v>
      </c>
      <c r="P88" s="71">
        <f>SUBTOTAL(9,P87:P87)</f>
        <v>0.9916666666666667</v>
      </c>
      <c r="Q88" s="76">
        <f>SUBTOTAL(9,Q87:Q87)</f>
        <v>32.30467</v>
      </c>
      <c r="R88" s="76">
        <f>SUBTOTAL(9,R87:R87)</f>
        <v>80.067735</v>
      </c>
      <c r="S88" s="76">
        <f>SUBTOTAL(9,S87:S87)</f>
        <v>240.203205</v>
      </c>
      <c r="T88" s="76">
        <f>SUBTOTAL(9,T87:T87)</f>
        <v>0</v>
      </c>
      <c r="U88" s="76">
        <f>SUBTOTAL(9,U87:U87)</f>
        <v>0</v>
      </c>
      <c r="V88" s="76">
        <f>SUBTOTAL(9,V87:V87)</f>
        <v>240.203205</v>
      </c>
    </row>
    <row r="89" spans="3:23" ht="12.75">
      <c r="C89" s="114">
        <v>1</v>
      </c>
      <c r="D89" s="114" t="s">
        <v>416</v>
      </c>
      <c r="E89" s="114"/>
      <c r="F89" s="114"/>
      <c r="G89" s="114"/>
      <c r="H89" s="114"/>
      <c r="I89" s="114"/>
      <c r="J89" s="115">
        <f>J88/$C89</f>
        <v>51.73694444444445</v>
      </c>
      <c r="K89" s="116">
        <f>K88/$C89</f>
        <v>50.0562</v>
      </c>
      <c r="L89" s="116">
        <f>L88/$C89</f>
        <v>38.1079</v>
      </c>
      <c r="M89" s="115">
        <f>M88/$C89</f>
        <v>1.905395583333333</v>
      </c>
      <c r="N89" s="116">
        <f>N88/$C89</f>
        <v>0</v>
      </c>
      <c r="O89" s="116">
        <f>O88/$C89</f>
        <v>39.6667</v>
      </c>
      <c r="P89" s="115">
        <f>P88/$C89</f>
        <v>0.9916666666666667</v>
      </c>
      <c r="Q89" s="116"/>
      <c r="R89" s="116"/>
      <c r="S89" s="116">
        <f>S88/$C89</f>
        <v>240.203205</v>
      </c>
      <c r="T89" s="116"/>
      <c r="U89" s="116"/>
      <c r="V89" s="116"/>
      <c r="W89" s="31" t="str">
        <f>FIXED(C89,0)&amp;" Units @ "&amp;DOLLAR(S89)&amp;" per Each"</f>
        <v>1 Units @ $240.20 per Each</v>
      </c>
    </row>
    <row r="90" spans="3:23" ht="12.75">
      <c r="C90" s="114">
        <v>6.166666666666667</v>
      </c>
      <c r="D90" s="114" t="s">
        <v>417</v>
      </c>
      <c r="E90" s="114"/>
      <c r="F90" s="114"/>
      <c r="G90" s="114"/>
      <c r="H90" s="114"/>
      <c r="I90" s="114"/>
      <c r="J90" s="115">
        <f>J88/$C90</f>
        <v>8.389774774774775</v>
      </c>
      <c r="K90" s="116">
        <f>K88/$C90</f>
        <v>8.11722162162162</v>
      </c>
      <c r="L90" s="116">
        <f>L88/$C90</f>
        <v>6.179659459459459</v>
      </c>
      <c r="M90" s="115">
        <f>M88/$C90</f>
        <v>0.3089830675675675</v>
      </c>
      <c r="N90" s="116">
        <f>N88/$C90</f>
        <v>0</v>
      </c>
      <c r="O90" s="116">
        <f>O88/$C90</f>
        <v>6.4324378378378375</v>
      </c>
      <c r="P90" s="115">
        <f>P89/$C90</f>
        <v>0.1608108108108108</v>
      </c>
      <c r="Q90" s="116"/>
      <c r="R90" s="116"/>
      <c r="S90" s="116">
        <f>S88/$C90</f>
        <v>38.95187108108108</v>
      </c>
      <c r="T90" s="116"/>
      <c r="U90" s="116"/>
      <c r="V90" s="116"/>
      <c r="W90" s="31" t="str">
        <f>FIXED(C90,1)&amp;" Linft. @ "&amp;DOLLAR(S90)&amp;" per Linft."</f>
        <v>6.2 Linft. @ $38.95 per Linft.</v>
      </c>
    </row>
    <row r="91" spans="10:22" ht="12.75">
      <c r="J91" s="45"/>
      <c r="K91" s="73"/>
      <c r="L91" s="73"/>
      <c r="M91" s="45"/>
      <c r="N91" s="73"/>
      <c r="O91" s="73"/>
      <c r="P91" s="45"/>
      <c r="Q91" s="73"/>
      <c r="R91" s="73"/>
      <c r="S91" s="73"/>
      <c r="T91" s="73"/>
      <c r="U91" s="73"/>
      <c r="V91" s="73"/>
    </row>
    <row r="92" spans="1:22" ht="15.75">
      <c r="A92" s="63" t="s">
        <v>426</v>
      </c>
      <c r="J92" s="45"/>
      <c r="K92" s="73"/>
      <c r="L92" s="73"/>
      <c r="M92" s="45"/>
      <c r="N92" s="73"/>
      <c r="O92" s="73"/>
      <c r="P92" s="45"/>
      <c r="Q92" s="73"/>
      <c r="R92" s="73"/>
      <c r="S92" s="73"/>
      <c r="T92" s="73"/>
      <c r="U92" s="73"/>
      <c r="V92" s="73"/>
    </row>
    <row r="93" spans="1:22" ht="12.75">
      <c r="A93" s="55">
        <f>Prod_FeeMU</f>
        <v>0.5</v>
      </c>
      <c r="J93" s="45"/>
      <c r="K93" s="73"/>
      <c r="L93" s="73"/>
      <c r="M93" s="45"/>
      <c r="N93" s="73"/>
      <c r="O93" s="73"/>
      <c r="P93" s="45"/>
      <c r="Q93" s="73"/>
      <c r="R93" s="73"/>
      <c r="S93" s="73"/>
      <c r="T93" s="73"/>
      <c r="U93" s="73"/>
      <c r="V93" s="73"/>
    </row>
    <row r="94" spans="2:22" ht="12.75">
      <c r="B94" s="64" t="s">
        <v>196</v>
      </c>
      <c r="C94" s="64" t="s">
        <v>197</v>
      </c>
      <c r="D94" s="64" t="s">
        <v>415</v>
      </c>
      <c r="E94" s="64" t="s">
        <v>199</v>
      </c>
      <c r="F94" s="64" t="s">
        <v>200</v>
      </c>
      <c r="G94" s="64" t="s">
        <v>201</v>
      </c>
      <c r="H94" s="64" t="s">
        <v>202</v>
      </c>
      <c r="I94" s="64" t="s">
        <v>203</v>
      </c>
      <c r="J94" s="69" t="s">
        <v>204</v>
      </c>
      <c r="K94" s="74" t="s">
        <v>205</v>
      </c>
      <c r="L94" s="74" t="s">
        <v>206</v>
      </c>
      <c r="M94" s="69" t="s">
        <v>207</v>
      </c>
      <c r="N94" s="74" t="s">
        <v>208</v>
      </c>
      <c r="O94" s="74" t="s">
        <v>209</v>
      </c>
      <c r="P94" s="69" t="s">
        <v>210</v>
      </c>
      <c r="Q94" s="74" t="s">
        <v>14</v>
      </c>
      <c r="R94" s="74" t="s">
        <v>12</v>
      </c>
      <c r="S94" s="74" t="s">
        <v>211</v>
      </c>
      <c r="T94" s="74" t="s">
        <v>212</v>
      </c>
      <c r="U94" s="74" t="s">
        <v>3</v>
      </c>
      <c r="V94" s="74" t="s">
        <v>213</v>
      </c>
    </row>
    <row r="95" spans="2:22" ht="12.75" outlineLevel="1">
      <c r="B95" s="65">
        <v>25</v>
      </c>
      <c r="C95" s="65">
        <v>2</v>
      </c>
      <c r="D95" s="65" t="s">
        <v>246</v>
      </c>
      <c r="E95" s="65" t="s">
        <v>259</v>
      </c>
      <c r="F95" s="65" t="s">
        <v>249</v>
      </c>
      <c r="G95" s="65"/>
      <c r="H95" s="65" t="s">
        <v>217</v>
      </c>
      <c r="I95" s="65" t="s">
        <v>223</v>
      </c>
      <c r="J95" s="70">
        <v>151.984</v>
      </c>
      <c r="K95" s="75">
        <v>123.2909</v>
      </c>
      <c r="L95" s="75">
        <v>57.8982</v>
      </c>
      <c r="M95" s="70">
        <v>2.894908</v>
      </c>
      <c r="N95" s="75">
        <v>0</v>
      </c>
      <c r="O95" s="75">
        <v>30</v>
      </c>
      <c r="P95" s="70">
        <v>0.75</v>
      </c>
      <c r="Q95" s="75">
        <f>K95*Prod_MaterialMU+L95*Prod_LaborMU+N95*Prod_MaterialMU2+O95*Prod_LaborMU2</f>
        <v>41.69855</v>
      </c>
      <c r="R95" s="75">
        <f>(K95+L95+N95+O95+Q95)*A$93</f>
        <v>126.443825</v>
      </c>
      <c r="S95" s="75">
        <f>SUM(K95+L95+N95+O95+Q95+R95)</f>
        <v>379.331475</v>
      </c>
      <c r="T95" s="75">
        <f>IF(Total_SimpleSell=0,0,S95/Total_SimpleSell*Total_GC)</f>
        <v>0</v>
      </c>
      <c r="U95" s="75">
        <f>(K95*(Prod_MaterialMU+1)*Prod_TaxRateMaterial+L95*(Prod_LaborMU+1)*Prod_TaxRateLabor+N95*(Prod_MaterialMU2+1)*Prod_TaxRateMaterial2+O95*(Prod_LaborMU2+1)*Prod_TaxRateLabor2+R95*Prod_TaxRateProfit+T95*TaxRateGC)</f>
        <v>0</v>
      </c>
      <c r="V95" s="75">
        <f>SUM(S95+T95+U95)</f>
        <v>379.331475</v>
      </c>
    </row>
    <row r="96" spans="2:22" ht="12.75">
      <c r="B96" s="66"/>
      <c r="C96" s="66">
        <f>SUBTOTAL(9,C95:C95)</f>
        <v>2</v>
      </c>
      <c r="D96" s="66"/>
      <c r="E96" s="66"/>
      <c r="F96" s="66"/>
      <c r="G96" s="66"/>
      <c r="H96" s="66"/>
      <c r="I96" s="66"/>
      <c r="J96" s="71">
        <f>SUBTOTAL(9,J95:J95)</f>
        <v>151.984</v>
      </c>
      <c r="K96" s="76">
        <f>SUBTOTAL(9,K95:K95)</f>
        <v>123.2909</v>
      </c>
      <c r="L96" s="76">
        <f>SUBTOTAL(9,L95:L95)</f>
        <v>57.8982</v>
      </c>
      <c r="M96" s="71">
        <f>SUBTOTAL(9,M95:M95)</f>
        <v>2.894908</v>
      </c>
      <c r="N96" s="76">
        <f>SUBTOTAL(9,N95:N95)</f>
        <v>0</v>
      </c>
      <c r="O96" s="76">
        <f>SUBTOTAL(9,O95:O95)</f>
        <v>30</v>
      </c>
      <c r="P96" s="71">
        <f>SUBTOTAL(9,P95:P95)</f>
        <v>0.75</v>
      </c>
      <c r="Q96" s="76">
        <f>SUBTOTAL(9,Q95:Q95)</f>
        <v>41.69855</v>
      </c>
      <c r="R96" s="76">
        <f>SUBTOTAL(9,R95:R95)</f>
        <v>126.443825</v>
      </c>
      <c r="S96" s="76">
        <f>SUBTOTAL(9,S95:S95)</f>
        <v>379.331475</v>
      </c>
      <c r="T96" s="76">
        <f>SUBTOTAL(9,T95:T95)</f>
        <v>0</v>
      </c>
      <c r="U96" s="76">
        <f>SUBTOTAL(9,U95:U95)</f>
        <v>0</v>
      </c>
      <c r="V96" s="76">
        <f>SUBTOTAL(9,V95:V95)</f>
        <v>379.331475</v>
      </c>
    </row>
    <row r="97" spans="3:23" ht="12.75">
      <c r="C97" s="114">
        <v>2</v>
      </c>
      <c r="D97" s="114" t="s">
        <v>416</v>
      </c>
      <c r="E97" s="114"/>
      <c r="F97" s="114"/>
      <c r="G97" s="114"/>
      <c r="H97" s="114"/>
      <c r="I97" s="114"/>
      <c r="J97" s="115">
        <f>J96/$C97</f>
        <v>75.992</v>
      </c>
      <c r="K97" s="116">
        <f>K96/$C97</f>
        <v>61.64545</v>
      </c>
      <c r="L97" s="116">
        <f>L96/$C97</f>
        <v>28.9491</v>
      </c>
      <c r="M97" s="115">
        <f>M96/$C97</f>
        <v>1.447454</v>
      </c>
      <c r="N97" s="116">
        <f>N96/$C97</f>
        <v>0</v>
      </c>
      <c r="O97" s="116">
        <f>O96/$C97</f>
        <v>15</v>
      </c>
      <c r="P97" s="115">
        <f>P96/$C97</f>
        <v>0.375</v>
      </c>
      <c r="Q97" s="116"/>
      <c r="R97" s="116"/>
      <c r="S97" s="116">
        <f>S96/$C97</f>
        <v>189.6657375</v>
      </c>
      <c r="T97" s="116"/>
      <c r="U97" s="116"/>
      <c r="V97" s="116"/>
      <c r="W97" s="31" t="str">
        <f>FIXED(C97,0)&amp;" Units @ "&amp;DOLLAR(S97)&amp;" per Each"</f>
        <v>2 Units @ $189.67 per Each</v>
      </c>
    </row>
    <row r="98" spans="3:23" ht="12.75">
      <c r="C98" s="114">
        <v>6</v>
      </c>
      <c r="D98" s="114" t="s">
        <v>417</v>
      </c>
      <c r="E98" s="114"/>
      <c r="F98" s="114"/>
      <c r="G98" s="114"/>
      <c r="H98" s="114"/>
      <c r="I98" s="114"/>
      <c r="J98" s="115">
        <f>J96/$C98</f>
        <v>25.33066666666667</v>
      </c>
      <c r="K98" s="116">
        <f>K96/$C98</f>
        <v>20.548483333333333</v>
      </c>
      <c r="L98" s="116">
        <f>L96/$C98</f>
        <v>9.649700000000001</v>
      </c>
      <c r="M98" s="115">
        <f>M96/$C98</f>
        <v>0.4824846666666667</v>
      </c>
      <c r="N98" s="116">
        <f>N96/$C98</f>
        <v>0</v>
      </c>
      <c r="O98" s="116">
        <f>O96/$C98</f>
        <v>5</v>
      </c>
      <c r="P98" s="115">
        <f>P97/$C98</f>
        <v>0.0625</v>
      </c>
      <c r="Q98" s="116"/>
      <c r="R98" s="116"/>
      <c r="S98" s="116">
        <f>S96/$C98</f>
        <v>63.2219125</v>
      </c>
      <c r="T98" s="116"/>
      <c r="U98" s="116"/>
      <c r="V98" s="116"/>
      <c r="W98" s="31" t="str">
        <f>FIXED(C98,1)&amp;" Linft. @ "&amp;DOLLAR(S98)&amp;" per Linft."</f>
        <v>6.0 Linft. @ $63.22 per Linft.</v>
      </c>
    </row>
    <row r="99" spans="10:22" ht="12.75">
      <c r="J99" s="45"/>
      <c r="K99" s="73"/>
      <c r="L99" s="73"/>
      <c r="M99" s="45"/>
      <c r="N99" s="73"/>
      <c r="O99" s="73"/>
      <c r="P99" s="45"/>
      <c r="Q99" s="73"/>
      <c r="R99" s="73"/>
      <c r="S99" s="73"/>
      <c r="T99" s="73"/>
      <c r="U99" s="73"/>
      <c r="V99" s="73"/>
    </row>
    <row r="100" spans="1:22" ht="15.75">
      <c r="A100" s="63" t="s">
        <v>427</v>
      </c>
      <c r="J100" s="45"/>
      <c r="K100" s="73"/>
      <c r="L100" s="73"/>
      <c r="M100" s="45"/>
      <c r="N100" s="73"/>
      <c r="O100" s="73"/>
      <c r="P100" s="45"/>
      <c r="Q100" s="73"/>
      <c r="R100" s="73"/>
      <c r="S100" s="73"/>
      <c r="T100" s="73"/>
      <c r="U100" s="73"/>
      <c r="V100" s="73"/>
    </row>
    <row r="101" spans="1:22" ht="12.75">
      <c r="A101" s="55">
        <f>Prod_FeeMU</f>
        <v>0.5</v>
      </c>
      <c r="J101" s="45"/>
      <c r="K101" s="73"/>
      <c r="L101" s="73"/>
      <c r="M101" s="45"/>
      <c r="N101" s="73"/>
      <c r="O101" s="73"/>
      <c r="P101" s="45"/>
      <c r="Q101" s="73"/>
      <c r="R101" s="73"/>
      <c r="S101" s="73"/>
      <c r="T101" s="73"/>
      <c r="U101" s="73"/>
      <c r="V101" s="73"/>
    </row>
    <row r="102" spans="2:22" ht="12.75">
      <c r="B102" s="64" t="s">
        <v>196</v>
      </c>
      <c r="C102" s="64" t="s">
        <v>197</v>
      </c>
      <c r="D102" s="64" t="s">
        <v>415</v>
      </c>
      <c r="E102" s="64" t="s">
        <v>199</v>
      </c>
      <c r="F102" s="64" t="s">
        <v>200</v>
      </c>
      <c r="G102" s="64" t="s">
        <v>201</v>
      </c>
      <c r="H102" s="64" t="s">
        <v>202</v>
      </c>
      <c r="I102" s="64" t="s">
        <v>203</v>
      </c>
      <c r="J102" s="69" t="s">
        <v>204</v>
      </c>
      <c r="K102" s="74" t="s">
        <v>205</v>
      </c>
      <c r="L102" s="74" t="s">
        <v>206</v>
      </c>
      <c r="M102" s="69" t="s">
        <v>207</v>
      </c>
      <c r="N102" s="74" t="s">
        <v>208</v>
      </c>
      <c r="O102" s="74" t="s">
        <v>209</v>
      </c>
      <c r="P102" s="69" t="s">
        <v>210</v>
      </c>
      <c r="Q102" s="74" t="s">
        <v>14</v>
      </c>
      <c r="R102" s="74" t="s">
        <v>12</v>
      </c>
      <c r="S102" s="74" t="s">
        <v>211</v>
      </c>
      <c r="T102" s="74" t="s">
        <v>212</v>
      </c>
      <c r="U102" s="74" t="s">
        <v>3</v>
      </c>
      <c r="V102" s="74" t="s">
        <v>213</v>
      </c>
    </row>
    <row r="103" spans="2:22" ht="12.75" outlineLevel="1">
      <c r="B103" s="65">
        <v>16</v>
      </c>
      <c r="C103" s="65">
        <v>1</v>
      </c>
      <c r="D103" s="65" t="s">
        <v>232</v>
      </c>
      <c r="E103" s="65" t="s">
        <v>234</v>
      </c>
      <c r="F103" s="65" t="s">
        <v>216</v>
      </c>
      <c r="G103" s="65" t="s">
        <v>235</v>
      </c>
      <c r="H103" s="65" t="s">
        <v>217</v>
      </c>
      <c r="I103" s="65" t="s">
        <v>236</v>
      </c>
      <c r="J103" s="70">
        <v>56.135</v>
      </c>
      <c r="K103" s="75">
        <v>52.3287</v>
      </c>
      <c r="L103" s="75">
        <v>56.517</v>
      </c>
      <c r="M103" s="70">
        <v>2.82584825</v>
      </c>
      <c r="N103" s="75">
        <v>0</v>
      </c>
      <c r="O103" s="75">
        <v>100</v>
      </c>
      <c r="P103" s="70">
        <v>2.5</v>
      </c>
      <c r="Q103" s="75">
        <f>K103*Prod_MaterialMU+L103*Prod_LaborMU+N103*Prod_MaterialMU2+O103*Prod_LaborMU2</f>
        <v>62.18797</v>
      </c>
      <c r="R103" s="75">
        <f>(K103+L103+N103+O103+Q103)*A$101</f>
        <v>135.516835</v>
      </c>
      <c r="S103" s="75">
        <f>SUM(K103+L103+N103+O103+Q103+R103)</f>
        <v>406.55050499999993</v>
      </c>
      <c r="T103" s="75">
        <f>IF(Total_SimpleSell=0,0,S103/Total_SimpleSell*Total_GC)</f>
        <v>0</v>
      </c>
      <c r="U103" s="75">
        <f>(K103*(Prod_MaterialMU+1)*Prod_TaxRateMaterial+L103*(Prod_LaborMU+1)*Prod_TaxRateLabor+N103*(Prod_MaterialMU2+1)*Prod_TaxRateMaterial2+O103*(Prod_LaborMU2+1)*Prod_TaxRateLabor2+R103*Prod_TaxRateProfit+T103*TaxRateGC)</f>
        <v>0</v>
      </c>
      <c r="V103" s="75">
        <f>SUM(S103+T103+U103)</f>
        <v>406.55050499999993</v>
      </c>
    </row>
    <row r="104" spans="2:22" ht="12.75">
      <c r="B104" s="66"/>
      <c r="C104" s="66">
        <f>SUBTOTAL(9,C103:C103)</f>
        <v>1</v>
      </c>
      <c r="D104" s="66"/>
      <c r="E104" s="66"/>
      <c r="F104" s="66"/>
      <c r="G104" s="66"/>
      <c r="H104" s="66"/>
      <c r="I104" s="66"/>
      <c r="J104" s="71">
        <f>SUBTOTAL(9,J103:J103)</f>
        <v>56.135</v>
      </c>
      <c r="K104" s="76">
        <f>SUBTOTAL(9,K103:K103)</f>
        <v>52.3287</v>
      </c>
      <c r="L104" s="76">
        <f>SUBTOTAL(9,L103:L103)</f>
        <v>56.517</v>
      </c>
      <c r="M104" s="71">
        <f>SUBTOTAL(9,M103:M103)</f>
        <v>2.82584825</v>
      </c>
      <c r="N104" s="76">
        <f>SUBTOTAL(9,N103:N103)</f>
        <v>0</v>
      </c>
      <c r="O104" s="76">
        <f>SUBTOTAL(9,O103:O103)</f>
        <v>100</v>
      </c>
      <c r="P104" s="71">
        <f>SUBTOTAL(9,P103:P103)</f>
        <v>2.5</v>
      </c>
      <c r="Q104" s="76">
        <f>SUBTOTAL(9,Q103:Q103)</f>
        <v>62.18797</v>
      </c>
      <c r="R104" s="76">
        <f>SUBTOTAL(9,R103:R103)</f>
        <v>135.516835</v>
      </c>
      <c r="S104" s="76">
        <f>SUBTOTAL(9,S103:S103)</f>
        <v>406.55050499999993</v>
      </c>
      <c r="T104" s="76">
        <f>SUBTOTAL(9,T103:T103)</f>
        <v>0</v>
      </c>
      <c r="U104" s="76">
        <f>SUBTOTAL(9,U103:U103)</f>
        <v>0</v>
      </c>
      <c r="V104" s="76">
        <f>SUBTOTAL(9,V103:V103)</f>
        <v>406.55050499999993</v>
      </c>
    </row>
    <row r="105" spans="3:23" ht="12.75">
      <c r="C105" s="114">
        <v>1</v>
      </c>
      <c r="D105" s="114" t="s">
        <v>416</v>
      </c>
      <c r="E105" s="114"/>
      <c r="F105" s="114"/>
      <c r="G105" s="114"/>
      <c r="H105" s="114"/>
      <c r="I105" s="114"/>
      <c r="J105" s="115">
        <f>J104/$C105</f>
        <v>56.135</v>
      </c>
      <c r="K105" s="116">
        <f>K104/$C105</f>
        <v>52.3287</v>
      </c>
      <c r="L105" s="116">
        <f>L104/$C105</f>
        <v>56.517</v>
      </c>
      <c r="M105" s="115">
        <f>M104/$C105</f>
        <v>2.82584825</v>
      </c>
      <c r="N105" s="116">
        <f>N104/$C105</f>
        <v>0</v>
      </c>
      <c r="O105" s="116">
        <f>O104/$C105</f>
        <v>100</v>
      </c>
      <c r="P105" s="115">
        <f>P104/$C105</f>
        <v>2.5</v>
      </c>
      <c r="Q105" s="116"/>
      <c r="R105" s="116"/>
      <c r="S105" s="116">
        <f>S104/$C105</f>
        <v>406.55050499999993</v>
      </c>
      <c r="T105" s="116"/>
      <c r="U105" s="116"/>
      <c r="V105" s="116"/>
      <c r="W105" s="31" t="str">
        <f>FIXED(C105,0)&amp;" Units @ "&amp;DOLLAR(S105)&amp;" per Each"</f>
        <v>1 Units @ $406.55 per Each</v>
      </c>
    </row>
    <row r="106" spans="3:23" ht="12.75">
      <c r="C106" s="114">
        <v>1</v>
      </c>
      <c r="D106" s="114" t="s">
        <v>416</v>
      </c>
      <c r="E106" s="114"/>
      <c r="F106" s="114"/>
      <c r="G106" s="114"/>
      <c r="H106" s="114"/>
      <c r="I106" s="114"/>
      <c r="J106" s="115">
        <f>J104/$C106</f>
        <v>56.135</v>
      </c>
      <c r="K106" s="116">
        <f>K104/$C106</f>
        <v>52.3287</v>
      </c>
      <c r="L106" s="116">
        <f>L104/$C106</f>
        <v>56.517</v>
      </c>
      <c r="M106" s="115">
        <f>M104/$C106</f>
        <v>2.82584825</v>
      </c>
      <c r="N106" s="116">
        <f>N104/$C106</f>
        <v>0</v>
      </c>
      <c r="O106" s="116">
        <f>O104/$C106</f>
        <v>100</v>
      </c>
      <c r="P106" s="115">
        <f>P105/$C106</f>
        <v>2.5</v>
      </c>
      <c r="Q106" s="116"/>
      <c r="R106" s="116"/>
      <c r="S106" s="116">
        <f>S104/$C106</f>
        <v>406.55050499999993</v>
      </c>
      <c r="T106" s="116"/>
      <c r="U106" s="116"/>
      <c r="V106" s="116"/>
      <c r="W106" s="31" t="str">
        <f>FIXED(C106,1)&amp;" Each @ "&amp;DOLLAR(S106)&amp;" per Each"</f>
        <v>1.0 Each @ $406.55 per Each</v>
      </c>
    </row>
    <row r="107" spans="10:22" ht="12.75">
      <c r="J107" s="45"/>
      <c r="K107" s="73"/>
      <c r="L107" s="73"/>
      <c r="M107" s="45"/>
      <c r="N107" s="73"/>
      <c r="O107" s="73"/>
      <c r="P107" s="45"/>
      <c r="Q107" s="73"/>
      <c r="R107" s="73"/>
      <c r="S107" s="73"/>
      <c r="T107" s="73"/>
      <c r="U107" s="73"/>
      <c r="V107" s="73"/>
    </row>
    <row r="108" spans="1:22" ht="15.75">
      <c r="A108" s="63" t="s">
        <v>428</v>
      </c>
      <c r="J108" s="45"/>
      <c r="K108" s="73"/>
      <c r="L108" s="73"/>
      <c r="M108" s="45"/>
      <c r="N108" s="73"/>
      <c r="O108" s="73"/>
      <c r="P108" s="45"/>
      <c r="Q108" s="73"/>
      <c r="R108" s="73"/>
      <c r="S108" s="73"/>
      <c r="T108" s="73"/>
      <c r="U108" s="73"/>
      <c r="V108" s="73"/>
    </row>
    <row r="109" spans="1:22" ht="12.75">
      <c r="A109" s="55">
        <f>Prod_FeeMU</f>
        <v>0.5</v>
      </c>
      <c r="J109" s="45"/>
      <c r="K109" s="73"/>
      <c r="L109" s="73"/>
      <c r="M109" s="45"/>
      <c r="N109" s="73"/>
      <c r="O109" s="73"/>
      <c r="P109" s="45"/>
      <c r="Q109" s="73"/>
      <c r="R109" s="73"/>
      <c r="S109" s="73"/>
      <c r="T109" s="73"/>
      <c r="U109" s="73"/>
      <c r="V109" s="73"/>
    </row>
    <row r="110" spans="2:22" ht="12.75">
      <c r="B110" s="64" t="s">
        <v>196</v>
      </c>
      <c r="C110" s="64" t="s">
        <v>197</v>
      </c>
      <c r="D110" s="64" t="s">
        <v>415</v>
      </c>
      <c r="E110" s="64" t="s">
        <v>199</v>
      </c>
      <c r="F110" s="64" t="s">
        <v>200</v>
      </c>
      <c r="G110" s="64" t="s">
        <v>201</v>
      </c>
      <c r="H110" s="64" t="s">
        <v>202</v>
      </c>
      <c r="I110" s="64" t="s">
        <v>203</v>
      </c>
      <c r="J110" s="69" t="s">
        <v>204</v>
      </c>
      <c r="K110" s="74" t="s">
        <v>205</v>
      </c>
      <c r="L110" s="74" t="s">
        <v>206</v>
      </c>
      <c r="M110" s="69" t="s">
        <v>207</v>
      </c>
      <c r="N110" s="74" t="s">
        <v>208</v>
      </c>
      <c r="O110" s="74" t="s">
        <v>209</v>
      </c>
      <c r="P110" s="69" t="s">
        <v>210</v>
      </c>
      <c r="Q110" s="74" t="s">
        <v>14</v>
      </c>
      <c r="R110" s="74" t="s">
        <v>12</v>
      </c>
      <c r="S110" s="74" t="s">
        <v>211</v>
      </c>
      <c r="T110" s="74" t="s">
        <v>212</v>
      </c>
      <c r="U110" s="74" t="s">
        <v>3</v>
      </c>
      <c r="V110" s="74" t="s">
        <v>213</v>
      </c>
    </row>
    <row r="111" spans="2:22" ht="12.75" outlineLevel="1">
      <c r="B111" s="65">
        <v>26</v>
      </c>
      <c r="C111" s="65">
        <v>2</v>
      </c>
      <c r="D111" s="65" t="s">
        <v>232</v>
      </c>
      <c r="E111" s="65" t="s">
        <v>243</v>
      </c>
      <c r="F111" s="65" t="s">
        <v>216</v>
      </c>
      <c r="G111" s="65" t="s">
        <v>244</v>
      </c>
      <c r="H111" s="65" t="s">
        <v>245</v>
      </c>
      <c r="I111" s="65" t="s">
        <v>218</v>
      </c>
      <c r="J111" s="70">
        <v>144.3</v>
      </c>
      <c r="K111" s="75">
        <v>156</v>
      </c>
      <c r="L111" s="75">
        <v>35</v>
      </c>
      <c r="M111" s="70">
        <v>1.75</v>
      </c>
      <c r="N111" s="75">
        <v>0</v>
      </c>
      <c r="O111" s="75">
        <v>80</v>
      </c>
      <c r="P111" s="70">
        <v>2</v>
      </c>
      <c r="Q111" s="75">
        <f>K111*Prod_MaterialMU+L111*Prod_LaborMU+N111*Prod_MaterialMU2+O111*Prod_LaborMU2</f>
        <v>58.1</v>
      </c>
      <c r="R111" s="75">
        <f>(K111+L111+N111+O111+Q111)*A$109</f>
        <v>164.55</v>
      </c>
      <c r="S111" s="75">
        <f>SUM(K111+L111+N111+O111+Q111+R111)</f>
        <v>493.65000000000003</v>
      </c>
      <c r="T111" s="75">
        <f>IF(Total_SimpleSell=0,0,S111/Total_SimpleSell*Total_GC)</f>
        <v>0</v>
      </c>
      <c r="U111" s="75">
        <f>(K111*(Prod_MaterialMU+1)*Prod_TaxRateMaterial+L111*(Prod_LaborMU+1)*Prod_TaxRateLabor+N111*(Prod_MaterialMU2+1)*Prod_TaxRateMaterial2+O111*(Prod_LaborMU2+1)*Prod_TaxRateLabor2+R111*Prod_TaxRateProfit+T111*TaxRateGC)</f>
        <v>0</v>
      </c>
      <c r="V111" s="75">
        <f>SUM(S111+T111+U111)</f>
        <v>493.65000000000003</v>
      </c>
    </row>
    <row r="112" spans="2:22" ht="12.75">
      <c r="B112" s="66"/>
      <c r="C112" s="66">
        <f>SUBTOTAL(9,C111:C111)</f>
        <v>2</v>
      </c>
      <c r="D112" s="66"/>
      <c r="E112" s="66"/>
      <c r="F112" s="66"/>
      <c r="G112" s="66"/>
      <c r="H112" s="66"/>
      <c r="I112" s="66"/>
      <c r="J112" s="71">
        <f>SUBTOTAL(9,J111:J111)</f>
        <v>144.3</v>
      </c>
      <c r="K112" s="76">
        <f>SUBTOTAL(9,K111:K111)</f>
        <v>156</v>
      </c>
      <c r="L112" s="76">
        <f>SUBTOTAL(9,L111:L111)</f>
        <v>35</v>
      </c>
      <c r="M112" s="71">
        <f>SUBTOTAL(9,M111:M111)</f>
        <v>1.75</v>
      </c>
      <c r="N112" s="76">
        <f>SUBTOTAL(9,N111:N111)</f>
        <v>0</v>
      </c>
      <c r="O112" s="76">
        <f>SUBTOTAL(9,O111:O111)</f>
        <v>80</v>
      </c>
      <c r="P112" s="71">
        <f>SUBTOTAL(9,P111:P111)</f>
        <v>2</v>
      </c>
      <c r="Q112" s="76">
        <f>SUBTOTAL(9,Q111:Q111)</f>
        <v>58.1</v>
      </c>
      <c r="R112" s="76">
        <f>SUBTOTAL(9,R111:R111)</f>
        <v>164.55</v>
      </c>
      <c r="S112" s="76">
        <f>SUBTOTAL(9,S111:S111)</f>
        <v>493.65000000000003</v>
      </c>
      <c r="T112" s="76">
        <f>SUBTOTAL(9,T111:T111)</f>
        <v>0</v>
      </c>
      <c r="U112" s="76">
        <f>SUBTOTAL(9,U111:U111)</f>
        <v>0</v>
      </c>
      <c r="V112" s="76">
        <f>SUBTOTAL(9,V111:V111)</f>
        <v>493.65000000000003</v>
      </c>
    </row>
    <row r="113" spans="3:23" ht="12.75">
      <c r="C113" s="114">
        <v>2</v>
      </c>
      <c r="D113" s="114" t="s">
        <v>416</v>
      </c>
      <c r="E113" s="114"/>
      <c r="F113" s="114"/>
      <c r="G113" s="114"/>
      <c r="H113" s="114"/>
      <c r="I113" s="114"/>
      <c r="J113" s="115">
        <f>J112/$C113</f>
        <v>72.15</v>
      </c>
      <c r="K113" s="116">
        <f>K112/$C113</f>
        <v>78</v>
      </c>
      <c r="L113" s="116">
        <f>L112/$C113</f>
        <v>17.5</v>
      </c>
      <c r="M113" s="115">
        <f>M112/$C113</f>
        <v>0.875</v>
      </c>
      <c r="N113" s="116">
        <f>N112/$C113</f>
        <v>0</v>
      </c>
      <c r="O113" s="116">
        <f>O112/$C113</f>
        <v>40</v>
      </c>
      <c r="P113" s="115">
        <f>P112/$C113</f>
        <v>1</v>
      </c>
      <c r="Q113" s="116"/>
      <c r="R113" s="116"/>
      <c r="S113" s="116">
        <f>S112/$C113</f>
        <v>246.82500000000002</v>
      </c>
      <c r="T113" s="116"/>
      <c r="U113" s="116"/>
      <c r="V113" s="116"/>
      <c r="W113" s="31" t="str">
        <f>FIXED(C113,0)&amp;" Units @ "&amp;DOLLAR(S113)&amp;" per Each"</f>
        <v>2 Units @ $246.83 per Each</v>
      </c>
    </row>
    <row r="114" spans="3:23" ht="12.75">
      <c r="C114" s="114">
        <v>2</v>
      </c>
      <c r="D114" s="114" t="s">
        <v>416</v>
      </c>
      <c r="E114" s="114"/>
      <c r="F114" s="114"/>
      <c r="G114" s="114"/>
      <c r="H114" s="114"/>
      <c r="I114" s="114"/>
      <c r="J114" s="115">
        <f>J112/$C114</f>
        <v>72.15</v>
      </c>
      <c r="K114" s="116">
        <f>K112/$C114</f>
        <v>78</v>
      </c>
      <c r="L114" s="116">
        <f>L112/$C114</f>
        <v>17.5</v>
      </c>
      <c r="M114" s="115">
        <f>M112/$C114</f>
        <v>0.875</v>
      </c>
      <c r="N114" s="116">
        <f>N112/$C114</f>
        <v>0</v>
      </c>
      <c r="O114" s="116">
        <f>O112/$C114</f>
        <v>40</v>
      </c>
      <c r="P114" s="115">
        <f>P113/$C114</f>
        <v>0.5</v>
      </c>
      <c r="Q114" s="116"/>
      <c r="R114" s="116"/>
      <c r="S114" s="116">
        <f>S112/$C114</f>
        <v>246.82500000000002</v>
      </c>
      <c r="T114" s="116"/>
      <c r="U114" s="116"/>
      <c r="V114" s="116"/>
      <c r="W114" s="31" t="str">
        <f>FIXED(C114,1)&amp;" Each @ "&amp;DOLLAR(S114)&amp;" per Each"</f>
        <v>2.0 Each @ $246.83 per Each</v>
      </c>
    </row>
    <row r="115" spans="10:22" ht="12.75">
      <c r="J115" s="45"/>
      <c r="K115" s="73"/>
      <c r="L115" s="73"/>
      <c r="M115" s="45"/>
      <c r="N115" s="73"/>
      <c r="O115" s="73"/>
      <c r="P115" s="45"/>
      <c r="Q115" s="73"/>
      <c r="R115" s="73"/>
      <c r="S115" s="73"/>
      <c r="T115" s="73"/>
      <c r="U115" s="73"/>
      <c r="V115" s="73"/>
    </row>
    <row r="116" spans="1:22" ht="15.75">
      <c r="A116" s="63" t="s">
        <v>429</v>
      </c>
      <c r="J116" s="45"/>
      <c r="K116" s="73"/>
      <c r="L116" s="73"/>
      <c r="M116" s="45"/>
      <c r="N116" s="73"/>
      <c r="O116" s="73"/>
      <c r="P116" s="45"/>
      <c r="Q116" s="73"/>
      <c r="R116" s="73"/>
      <c r="S116" s="73"/>
      <c r="T116" s="73"/>
      <c r="U116" s="73"/>
      <c r="V116" s="73"/>
    </row>
    <row r="117" spans="1:22" ht="12.75">
      <c r="A117" s="55">
        <f>Prod_FeeMU</f>
        <v>0.5</v>
      </c>
      <c r="J117" s="45"/>
      <c r="K117" s="73"/>
      <c r="L117" s="73"/>
      <c r="M117" s="45"/>
      <c r="N117" s="73"/>
      <c r="O117" s="73"/>
      <c r="P117" s="45"/>
      <c r="Q117" s="73"/>
      <c r="R117" s="73"/>
      <c r="S117" s="73"/>
      <c r="T117" s="73"/>
      <c r="U117" s="73"/>
      <c r="V117" s="73"/>
    </row>
    <row r="118" spans="2:22" ht="12.75">
      <c r="B118" s="64" t="s">
        <v>196</v>
      </c>
      <c r="C118" s="64" t="s">
        <v>197</v>
      </c>
      <c r="D118" s="64" t="s">
        <v>415</v>
      </c>
      <c r="E118" s="64" t="s">
        <v>199</v>
      </c>
      <c r="F118" s="64" t="s">
        <v>200</v>
      </c>
      <c r="G118" s="64" t="s">
        <v>201</v>
      </c>
      <c r="H118" s="64" t="s">
        <v>202</v>
      </c>
      <c r="I118" s="64" t="s">
        <v>203</v>
      </c>
      <c r="J118" s="69" t="s">
        <v>204</v>
      </c>
      <c r="K118" s="74" t="s">
        <v>205</v>
      </c>
      <c r="L118" s="74" t="s">
        <v>206</v>
      </c>
      <c r="M118" s="69" t="s">
        <v>207</v>
      </c>
      <c r="N118" s="74" t="s">
        <v>208</v>
      </c>
      <c r="O118" s="74" t="s">
        <v>209</v>
      </c>
      <c r="P118" s="69" t="s">
        <v>210</v>
      </c>
      <c r="Q118" s="74" t="s">
        <v>14</v>
      </c>
      <c r="R118" s="74" t="s">
        <v>12</v>
      </c>
      <c r="S118" s="74" t="s">
        <v>211</v>
      </c>
      <c r="T118" s="74" t="s">
        <v>212</v>
      </c>
      <c r="U118" s="74" t="s">
        <v>3</v>
      </c>
      <c r="V118" s="74" t="s">
        <v>213</v>
      </c>
    </row>
    <row r="119" spans="2:22" ht="12.75" outlineLevel="1">
      <c r="B119" s="65">
        <v>6</v>
      </c>
      <c r="C119" s="65">
        <v>1</v>
      </c>
      <c r="D119" s="65" t="s">
        <v>219</v>
      </c>
      <c r="E119" s="65" t="s">
        <v>227</v>
      </c>
      <c r="F119" s="65" t="s">
        <v>222</v>
      </c>
      <c r="G119" s="65" t="s">
        <v>228</v>
      </c>
      <c r="H119" s="65" t="s">
        <v>217</v>
      </c>
      <c r="I119" s="65" t="s">
        <v>223</v>
      </c>
      <c r="J119" s="70">
        <v>24.4</v>
      </c>
      <c r="K119" s="75">
        <v>31.4259</v>
      </c>
      <c r="L119" s="75">
        <v>3.4261</v>
      </c>
      <c r="M119" s="70">
        <v>0.171304</v>
      </c>
      <c r="N119" s="75">
        <v>0</v>
      </c>
      <c r="O119" s="75">
        <v>0</v>
      </c>
      <c r="P119" s="70">
        <v>0</v>
      </c>
      <c r="Q119" s="75">
        <f>K119*Prod_MaterialMU+L119*Prod_LaborMU+N119*Prod_MaterialMU2+O119*Prod_LaborMU2</f>
        <v>4.17042</v>
      </c>
      <c r="R119" s="75">
        <f>(K119+L119+N119+O119+Q119)*A$117</f>
        <v>19.51121</v>
      </c>
      <c r="S119" s="75">
        <f>SUM(K119+L119+N119+O119+Q119+R119)</f>
        <v>58.533629999999995</v>
      </c>
      <c r="T119" s="75">
        <f>IF(Total_SimpleSell=0,0,S119/Total_SimpleSell*Total_GC)</f>
        <v>0</v>
      </c>
      <c r="U119" s="75">
        <f>(K119*(Prod_MaterialMU+1)*Prod_TaxRateMaterial+L119*(Prod_LaborMU+1)*Prod_TaxRateLabor+N119*(Prod_MaterialMU2+1)*Prod_TaxRateMaterial2+O119*(Prod_LaborMU2+1)*Prod_TaxRateLabor2+R119*Prod_TaxRateProfit+T119*TaxRateGC)</f>
        <v>0</v>
      </c>
      <c r="V119" s="75">
        <f>SUM(S119+T119+U119)</f>
        <v>58.533629999999995</v>
      </c>
    </row>
    <row r="120" spans="2:22" ht="12.75" outlineLevel="1">
      <c r="B120" s="65">
        <v>13</v>
      </c>
      <c r="C120" s="65">
        <v>1</v>
      </c>
      <c r="D120" s="65" t="s">
        <v>231</v>
      </c>
      <c r="E120" s="65" t="s">
        <v>227</v>
      </c>
      <c r="F120" s="65" t="s">
        <v>222</v>
      </c>
      <c r="G120" s="65" t="s">
        <v>228</v>
      </c>
      <c r="H120" s="65" t="s">
        <v>217</v>
      </c>
      <c r="I120" s="65" t="s">
        <v>223</v>
      </c>
      <c r="J120" s="70">
        <v>24.4</v>
      </c>
      <c r="K120" s="75">
        <v>31.4259</v>
      </c>
      <c r="L120" s="75">
        <v>3.4261</v>
      </c>
      <c r="M120" s="70">
        <v>0.171304</v>
      </c>
      <c r="N120" s="75">
        <v>0</v>
      </c>
      <c r="O120" s="75">
        <v>0</v>
      </c>
      <c r="P120" s="70">
        <v>0</v>
      </c>
      <c r="Q120" s="75">
        <f>K120*Prod_MaterialMU+L120*Prod_LaborMU+N120*Prod_MaterialMU2+O120*Prod_LaborMU2</f>
        <v>4.17042</v>
      </c>
      <c r="R120" s="75">
        <f>(K120+L120+N120+O120+Q120)*A$117</f>
        <v>19.51121</v>
      </c>
      <c r="S120" s="75">
        <f>SUM(K120+L120+N120+O120+Q120+R120)</f>
        <v>58.533629999999995</v>
      </c>
      <c r="T120" s="75">
        <f>IF(Total_SimpleSell=0,0,S120/Total_SimpleSell*Total_GC)</f>
        <v>0</v>
      </c>
      <c r="U120" s="75">
        <f>(K120*(Prod_MaterialMU+1)*Prod_TaxRateMaterial+L120*(Prod_LaborMU+1)*Prod_TaxRateLabor+N120*(Prod_MaterialMU2+1)*Prod_TaxRateMaterial2+O120*(Prod_LaborMU2+1)*Prod_TaxRateLabor2+R120*Prod_TaxRateProfit+T120*TaxRateGC)</f>
        <v>0</v>
      </c>
      <c r="V120" s="75">
        <f>SUM(S120+T120+U120)</f>
        <v>58.533629999999995</v>
      </c>
    </row>
    <row r="121" spans="2:22" ht="12.75">
      <c r="B121" s="66"/>
      <c r="C121" s="66">
        <f>SUBTOTAL(9,C119:C120)</f>
        <v>2</v>
      </c>
      <c r="D121" s="66"/>
      <c r="E121" s="66"/>
      <c r="F121" s="66"/>
      <c r="G121" s="66"/>
      <c r="H121" s="66"/>
      <c r="I121" s="66"/>
      <c r="J121" s="71">
        <f>SUBTOTAL(9,J119:J120)</f>
        <v>48.8</v>
      </c>
      <c r="K121" s="76">
        <f>SUBTOTAL(9,K119:K120)</f>
        <v>62.8518</v>
      </c>
      <c r="L121" s="76">
        <f>SUBTOTAL(9,L119:L120)</f>
        <v>6.8522</v>
      </c>
      <c r="M121" s="71">
        <f>SUBTOTAL(9,M119:M120)</f>
        <v>0.342608</v>
      </c>
      <c r="N121" s="76">
        <f>SUBTOTAL(9,N119:N120)</f>
        <v>0</v>
      </c>
      <c r="O121" s="76">
        <f>SUBTOTAL(9,O119:O120)</f>
        <v>0</v>
      </c>
      <c r="P121" s="71">
        <f>SUBTOTAL(9,P119:P120)</f>
        <v>0</v>
      </c>
      <c r="Q121" s="76">
        <f>SUBTOTAL(9,Q119:Q120)</f>
        <v>8.34084</v>
      </c>
      <c r="R121" s="76">
        <f>SUBTOTAL(9,R119:R120)</f>
        <v>39.02242</v>
      </c>
      <c r="S121" s="76">
        <f>SUBTOTAL(9,S119:S120)</f>
        <v>117.06725999999999</v>
      </c>
      <c r="T121" s="76">
        <f>SUBTOTAL(9,T119:T120)</f>
        <v>0</v>
      </c>
      <c r="U121" s="76">
        <f>SUBTOTAL(9,U119:U120)</f>
        <v>0</v>
      </c>
      <c r="V121" s="76">
        <f>SUBTOTAL(9,V119:V120)</f>
        <v>117.06725999999999</v>
      </c>
    </row>
    <row r="122" spans="3:23" ht="12.75">
      <c r="C122" s="114">
        <v>2</v>
      </c>
      <c r="D122" s="114" t="s">
        <v>416</v>
      </c>
      <c r="E122" s="114"/>
      <c r="F122" s="114"/>
      <c r="G122" s="114"/>
      <c r="H122" s="114"/>
      <c r="I122" s="114"/>
      <c r="J122" s="115">
        <f>J121/$C122</f>
        <v>24.4</v>
      </c>
      <c r="K122" s="116">
        <f>K121/$C122</f>
        <v>31.4259</v>
      </c>
      <c r="L122" s="116">
        <f>L121/$C122</f>
        <v>3.4261</v>
      </c>
      <c r="M122" s="115">
        <f>M121/$C122</f>
        <v>0.171304</v>
      </c>
      <c r="N122" s="116">
        <f>N121/$C122</f>
        <v>0</v>
      </c>
      <c r="O122" s="116">
        <f>O121/$C122</f>
        <v>0</v>
      </c>
      <c r="P122" s="115">
        <f>P121/$C122</f>
        <v>0</v>
      </c>
      <c r="Q122" s="116"/>
      <c r="R122" s="116"/>
      <c r="S122" s="116">
        <f>S121/$C122</f>
        <v>58.533629999999995</v>
      </c>
      <c r="T122" s="116"/>
      <c r="U122" s="116"/>
      <c r="V122" s="116"/>
      <c r="W122" s="31" t="str">
        <f>FIXED(C122,0)&amp;" Units @ "&amp;DOLLAR(S122)&amp;" per Each"</f>
        <v>2 Units @ $58.53 per Each</v>
      </c>
    </row>
    <row r="123" spans="3:23" ht="12.75">
      <c r="C123" s="114">
        <v>2</v>
      </c>
      <c r="D123" s="114" t="s">
        <v>416</v>
      </c>
      <c r="E123" s="114"/>
      <c r="F123" s="114"/>
      <c r="G123" s="114"/>
      <c r="H123" s="114"/>
      <c r="I123" s="114"/>
      <c r="J123" s="115">
        <f>J121/$C123</f>
        <v>24.4</v>
      </c>
      <c r="K123" s="116">
        <f>K121/$C123</f>
        <v>31.4259</v>
      </c>
      <c r="L123" s="116">
        <f>L121/$C123</f>
        <v>3.4261</v>
      </c>
      <c r="M123" s="115">
        <f>M121/$C123</f>
        <v>0.171304</v>
      </c>
      <c r="N123" s="116">
        <f>N121/$C123</f>
        <v>0</v>
      </c>
      <c r="O123" s="116">
        <f>O121/$C123</f>
        <v>0</v>
      </c>
      <c r="P123" s="115">
        <f>P122/$C123</f>
        <v>0</v>
      </c>
      <c r="Q123" s="116"/>
      <c r="R123" s="116"/>
      <c r="S123" s="116">
        <f>S121/$C123</f>
        <v>58.533629999999995</v>
      </c>
      <c r="T123" s="116"/>
      <c r="U123" s="116"/>
      <c r="V123" s="116"/>
      <c r="W123" s="31" t="str">
        <f>FIXED(C123,1)&amp;" Each @ "&amp;DOLLAR(S123)&amp;" per Each"</f>
        <v>2.0 Each @ $58.53 per Each</v>
      </c>
    </row>
    <row r="124" spans="10:22" ht="12.75">
      <c r="J124" s="45"/>
      <c r="K124" s="73"/>
      <c r="L124" s="73"/>
      <c r="M124" s="45"/>
      <c r="N124" s="73"/>
      <c r="O124" s="73"/>
      <c r="P124" s="45"/>
      <c r="Q124" s="73"/>
      <c r="R124" s="73"/>
      <c r="S124" s="73"/>
      <c r="T124" s="73"/>
      <c r="U124" s="73"/>
      <c r="V124" s="73"/>
    </row>
    <row r="125" spans="1:22" ht="15.75">
      <c r="A125" s="63" t="s">
        <v>430</v>
      </c>
      <c r="J125" s="45"/>
      <c r="K125" s="73"/>
      <c r="L125" s="73"/>
      <c r="M125" s="45"/>
      <c r="N125" s="73"/>
      <c r="O125" s="73"/>
      <c r="P125" s="45"/>
      <c r="Q125" s="73"/>
      <c r="R125" s="73"/>
      <c r="S125" s="73"/>
      <c r="T125" s="73"/>
      <c r="U125" s="73"/>
      <c r="V125" s="73"/>
    </row>
    <row r="126" spans="1:22" ht="12.75">
      <c r="A126" s="55">
        <f>Prod_FeeMU</f>
        <v>0.5</v>
      </c>
      <c r="J126" s="45"/>
      <c r="K126" s="73"/>
      <c r="L126" s="73"/>
      <c r="M126" s="45"/>
      <c r="N126" s="73"/>
      <c r="O126" s="73"/>
      <c r="P126" s="45"/>
      <c r="Q126" s="73"/>
      <c r="R126" s="73"/>
      <c r="S126" s="73"/>
      <c r="T126" s="73"/>
      <c r="U126" s="73"/>
      <c r="V126" s="73"/>
    </row>
    <row r="127" spans="2:22" ht="12.75">
      <c r="B127" s="64" t="s">
        <v>196</v>
      </c>
      <c r="C127" s="64" t="s">
        <v>197</v>
      </c>
      <c r="D127" s="64" t="s">
        <v>415</v>
      </c>
      <c r="E127" s="64" t="s">
        <v>199</v>
      </c>
      <c r="F127" s="64" t="s">
        <v>200</v>
      </c>
      <c r="G127" s="64" t="s">
        <v>201</v>
      </c>
      <c r="H127" s="64" t="s">
        <v>202</v>
      </c>
      <c r="I127" s="64" t="s">
        <v>203</v>
      </c>
      <c r="J127" s="69" t="s">
        <v>204</v>
      </c>
      <c r="K127" s="74" t="s">
        <v>205</v>
      </c>
      <c r="L127" s="74" t="s">
        <v>206</v>
      </c>
      <c r="M127" s="69" t="s">
        <v>207</v>
      </c>
      <c r="N127" s="74" t="s">
        <v>208</v>
      </c>
      <c r="O127" s="74" t="s">
        <v>209</v>
      </c>
      <c r="P127" s="69" t="s">
        <v>210</v>
      </c>
      <c r="Q127" s="74" t="s">
        <v>14</v>
      </c>
      <c r="R127" s="74" t="s">
        <v>12</v>
      </c>
      <c r="S127" s="74" t="s">
        <v>211</v>
      </c>
      <c r="T127" s="74" t="s">
        <v>212</v>
      </c>
      <c r="U127" s="74" t="s">
        <v>3</v>
      </c>
      <c r="V127" s="74" t="s">
        <v>213</v>
      </c>
    </row>
    <row r="128" spans="2:22" ht="12.75" outlineLevel="1">
      <c r="B128" s="65">
        <v>20</v>
      </c>
      <c r="C128" s="65">
        <v>2</v>
      </c>
      <c r="D128" s="65" t="s">
        <v>246</v>
      </c>
      <c r="E128" s="65" t="s">
        <v>248</v>
      </c>
      <c r="F128" s="65" t="s">
        <v>249</v>
      </c>
      <c r="G128" s="65"/>
      <c r="H128" s="65" t="s">
        <v>217</v>
      </c>
      <c r="I128" s="65" t="s">
        <v>223</v>
      </c>
      <c r="J128" s="70">
        <v>7.071999999999999</v>
      </c>
      <c r="K128" s="75">
        <v>4.4918</v>
      </c>
      <c r="L128" s="75">
        <v>5.8178</v>
      </c>
      <c r="M128" s="70">
        <v>0.290889</v>
      </c>
      <c r="N128" s="75">
        <v>0</v>
      </c>
      <c r="O128" s="75">
        <v>10</v>
      </c>
      <c r="P128" s="70">
        <v>0.25</v>
      </c>
      <c r="Q128" s="75">
        <f>K128*Prod_MaterialMU+L128*Prod_LaborMU+N128*Prod_MaterialMU2+O128*Prod_LaborMU2</f>
        <v>6.19452</v>
      </c>
      <c r="R128" s="75">
        <f>(K128+L128+N128+O128+Q128)*A$126</f>
        <v>13.25206</v>
      </c>
      <c r="S128" s="75">
        <f>SUM(K128+L128+N128+O128+Q128+R128)</f>
        <v>39.75618</v>
      </c>
      <c r="T128" s="75">
        <f>IF(Total_SimpleSell=0,0,S128/Total_SimpleSell*Total_GC)</f>
        <v>0</v>
      </c>
      <c r="U128" s="75">
        <f>(K128*(Prod_MaterialMU+1)*Prod_TaxRateMaterial+L128*(Prod_LaborMU+1)*Prod_TaxRateLabor+N128*(Prod_MaterialMU2+1)*Prod_TaxRateMaterial2+O128*(Prod_LaborMU2+1)*Prod_TaxRateLabor2+R128*Prod_TaxRateProfit+T128*TaxRateGC)</f>
        <v>0</v>
      </c>
      <c r="V128" s="75">
        <f>SUM(S128+T128+U128)</f>
        <v>39.75618</v>
      </c>
    </row>
    <row r="129" spans="2:22" ht="12.75">
      <c r="B129" s="66"/>
      <c r="C129" s="66">
        <f>SUBTOTAL(9,C128:C128)</f>
        <v>2</v>
      </c>
      <c r="D129" s="66"/>
      <c r="E129" s="66"/>
      <c r="F129" s="66"/>
      <c r="G129" s="66"/>
      <c r="H129" s="66"/>
      <c r="I129" s="66"/>
      <c r="J129" s="71">
        <f>SUBTOTAL(9,J128:J128)</f>
        <v>7.071999999999999</v>
      </c>
      <c r="K129" s="76">
        <f>SUBTOTAL(9,K128:K128)</f>
        <v>4.4918</v>
      </c>
      <c r="L129" s="76">
        <f>SUBTOTAL(9,L128:L128)</f>
        <v>5.8178</v>
      </c>
      <c r="M129" s="71">
        <f>SUBTOTAL(9,M128:M128)</f>
        <v>0.290889</v>
      </c>
      <c r="N129" s="76">
        <f>SUBTOTAL(9,N128:N128)</f>
        <v>0</v>
      </c>
      <c r="O129" s="76">
        <f>SUBTOTAL(9,O128:O128)</f>
        <v>10</v>
      </c>
      <c r="P129" s="71">
        <f>SUBTOTAL(9,P128:P128)</f>
        <v>0.25</v>
      </c>
      <c r="Q129" s="76">
        <f>SUBTOTAL(9,Q128:Q128)</f>
        <v>6.19452</v>
      </c>
      <c r="R129" s="76">
        <f>SUBTOTAL(9,R128:R128)</f>
        <v>13.25206</v>
      </c>
      <c r="S129" s="76">
        <f>SUBTOTAL(9,S128:S128)</f>
        <v>39.75618</v>
      </c>
      <c r="T129" s="76">
        <f>SUBTOTAL(9,T128:T128)</f>
        <v>0</v>
      </c>
      <c r="U129" s="76">
        <f>SUBTOTAL(9,U128:U128)</f>
        <v>0</v>
      </c>
      <c r="V129" s="76">
        <f>SUBTOTAL(9,V128:V128)</f>
        <v>39.75618</v>
      </c>
    </row>
    <row r="130" spans="3:23" ht="12.75">
      <c r="C130" s="114">
        <v>2</v>
      </c>
      <c r="D130" s="114" t="s">
        <v>416</v>
      </c>
      <c r="E130" s="114"/>
      <c r="F130" s="114"/>
      <c r="G130" s="114"/>
      <c r="H130" s="114"/>
      <c r="I130" s="114"/>
      <c r="J130" s="115">
        <f>J129/$C130</f>
        <v>3.5359999999999996</v>
      </c>
      <c r="K130" s="116">
        <f>K129/$C130</f>
        <v>2.2459</v>
      </c>
      <c r="L130" s="116">
        <f>L129/$C130</f>
        <v>2.9089</v>
      </c>
      <c r="M130" s="115">
        <f>M129/$C130</f>
        <v>0.1454445</v>
      </c>
      <c r="N130" s="116">
        <f>N129/$C130</f>
        <v>0</v>
      </c>
      <c r="O130" s="116">
        <f>O129/$C130</f>
        <v>5</v>
      </c>
      <c r="P130" s="115">
        <f>P129/$C130</f>
        <v>0.125</v>
      </c>
      <c r="Q130" s="116"/>
      <c r="R130" s="116"/>
      <c r="S130" s="116">
        <f>S129/$C130</f>
        <v>19.87809</v>
      </c>
      <c r="T130" s="116"/>
      <c r="U130" s="116"/>
      <c r="V130" s="116"/>
      <c r="W130" s="31" t="str">
        <f>FIXED(C130,0)&amp;" Units @ "&amp;DOLLAR(S130)&amp;" per Each"</f>
        <v>2 Units @ $19.88 per Each</v>
      </c>
    </row>
    <row r="131" spans="3:23" ht="12.75">
      <c r="C131" s="114">
        <v>2</v>
      </c>
      <c r="D131" s="114" t="s">
        <v>416</v>
      </c>
      <c r="E131" s="114"/>
      <c r="F131" s="114"/>
      <c r="G131" s="114"/>
      <c r="H131" s="114"/>
      <c r="I131" s="114"/>
      <c r="J131" s="115">
        <f>J129/$C131</f>
        <v>3.5359999999999996</v>
      </c>
      <c r="K131" s="116">
        <f>K129/$C131</f>
        <v>2.2459</v>
      </c>
      <c r="L131" s="116">
        <f>L129/$C131</f>
        <v>2.9089</v>
      </c>
      <c r="M131" s="115">
        <f>M129/$C131</f>
        <v>0.1454445</v>
      </c>
      <c r="N131" s="116">
        <f>N129/$C131</f>
        <v>0</v>
      </c>
      <c r="O131" s="116">
        <f>O129/$C131</f>
        <v>5</v>
      </c>
      <c r="P131" s="115">
        <f>P130/$C131</f>
        <v>0.0625</v>
      </c>
      <c r="Q131" s="116"/>
      <c r="R131" s="116"/>
      <c r="S131" s="116">
        <f>S129/$C131</f>
        <v>19.87809</v>
      </c>
      <c r="T131" s="116"/>
      <c r="U131" s="116"/>
      <c r="V131" s="116"/>
      <c r="W131" s="31" t="str">
        <f>FIXED(C131,1)&amp;" Each @ "&amp;DOLLAR(S131)&amp;" per Each"</f>
        <v>2.0 Each @ $19.88 per Each</v>
      </c>
    </row>
    <row r="132" spans="10:22" ht="12.75">
      <c r="J132" s="45"/>
      <c r="K132" s="73"/>
      <c r="L132" s="73"/>
      <c r="M132" s="45"/>
      <c r="N132" s="73"/>
      <c r="O132" s="73"/>
      <c r="P132" s="45"/>
      <c r="Q132" s="73"/>
      <c r="R132" s="73"/>
      <c r="S132" s="73"/>
      <c r="T132" s="73"/>
      <c r="U132" s="73"/>
      <c r="V132" s="73"/>
    </row>
    <row r="133" spans="1:22" ht="15.75">
      <c r="A133" s="63" t="s">
        <v>431</v>
      </c>
      <c r="J133" s="45"/>
      <c r="K133" s="73"/>
      <c r="L133" s="73"/>
      <c r="M133" s="45"/>
      <c r="N133" s="73"/>
      <c r="O133" s="73"/>
      <c r="P133" s="45"/>
      <c r="Q133" s="73"/>
      <c r="R133" s="73"/>
      <c r="S133" s="73"/>
      <c r="T133" s="73"/>
      <c r="U133" s="73"/>
      <c r="V133" s="73"/>
    </row>
    <row r="134" spans="1:22" ht="12.75">
      <c r="A134" s="55">
        <f>Prod_FeeMU</f>
        <v>0.5</v>
      </c>
      <c r="J134" s="45"/>
      <c r="K134" s="73"/>
      <c r="L134" s="73"/>
      <c r="M134" s="45"/>
      <c r="N134" s="73"/>
      <c r="O134" s="73"/>
      <c r="P134" s="45"/>
      <c r="Q134" s="73"/>
      <c r="R134" s="73"/>
      <c r="S134" s="73"/>
      <c r="T134" s="73"/>
      <c r="U134" s="73"/>
      <c r="V134" s="73"/>
    </row>
    <row r="135" spans="2:22" ht="12.75">
      <c r="B135" s="64" t="s">
        <v>196</v>
      </c>
      <c r="C135" s="64" t="s">
        <v>197</v>
      </c>
      <c r="D135" s="64" t="s">
        <v>415</v>
      </c>
      <c r="E135" s="64" t="s">
        <v>199</v>
      </c>
      <c r="F135" s="64" t="s">
        <v>200</v>
      </c>
      <c r="G135" s="64" t="s">
        <v>201</v>
      </c>
      <c r="H135" s="64" t="s">
        <v>202</v>
      </c>
      <c r="I135" s="64" t="s">
        <v>203</v>
      </c>
      <c r="J135" s="69" t="s">
        <v>204</v>
      </c>
      <c r="K135" s="74" t="s">
        <v>205</v>
      </c>
      <c r="L135" s="74" t="s">
        <v>206</v>
      </c>
      <c r="M135" s="69" t="s">
        <v>207</v>
      </c>
      <c r="N135" s="74" t="s">
        <v>208</v>
      </c>
      <c r="O135" s="74" t="s">
        <v>209</v>
      </c>
      <c r="P135" s="69" t="s">
        <v>210</v>
      </c>
      <c r="Q135" s="74" t="s">
        <v>14</v>
      </c>
      <c r="R135" s="74" t="s">
        <v>12</v>
      </c>
      <c r="S135" s="74" t="s">
        <v>211</v>
      </c>
      <c r="T135" s="74" t="s">
        <v>212</v>
      </c>
      <c r="U135" s="74" t="s">
        <v>3</v>
      </c>
      <c r="V135" s="74" t="s">
        <v>213</v>
      </c>
    </row>
    <row r="136" spans="2:22" ht="12.75" outlineLevel="1">
      <c r="B136" s="65">
        <v>24</v>
      </c>
      <c r="C136" s="65">
        <v>2</v>
      </c>
      <c r="D136" s="65" t="s">
        <v>246</v>
      </c>
      <c r="E136" s="65" t="s">
        <v>257</v>
      </c>
      <c r="F136" s="65" t="s">
        <v>249</v>
      </c>
      <c r="G136" s="65"/>
      <c r="H136" s="65" t="s">
        <v>217</v>
      </c>
      <c r="I136" s="65" t="s">
        <v>223</v>
      </c>
      <c r="J136" s="70">
        <v>5.171999999999999</v>
      </c>
      <c r="K136" s="75">
        <v>3.8071</v>
      </c>
      <c r="L136" s="75">
        <v>10.9505</v>
      </c>
      <c r="M136" s="70">
        <v>0.5475260000000001</v>
      </c>
      <c r="N136" s="75">
        <v>0</v>
      </c>
      <c r="O136" s="75">
        <v>10</v>
      </c>
      <c r="P136" s="70">
        <v>0.25</v>
      </c>
      <c r="Q136" s="75">
        <f>K136*Prod_MaterialMU+L136*Prod_LaborMU+N136*Prod_MaterialMU2+O136*Prod_LaborMU2</f>
        <v>7.66586</v>
      </c>
      <c r="R136" s="75">
        <f>(K136+L136+N136+O136+Q136)*A$134</f>
        <v>16.21173</v>
      </c>
      <c r="S136" s="75">
        <f>SUM(K136+L136+N136+O136+Q136+R136)</f>
        <v>48.635189999999994</v>
      </c>
      <c r="T136" s="75">
        <f>IF(Total_SimpleSell=0,0,S136/Total_SimpleSell*Total_GC)</f>
        <v>0</v>
      </c>
      <c r="U136" s="75">
        <f>(K136*(Prod_MaterialMU+1)*Prod_TaxRateMaterial+L136*(Prod_LaborMU+1)*Prod_TaxRateLabor+N136*(Prod_MaterialMU2+1)*Prod_TaxRateMaterial2+O136*(Prod_LaborMU2+1)*Prod_TaxRateLabor2+R136*Prod_TaxRateProfit+T136*TaxRateGC)</f>
        <v>0</v>
      </c>
      <c r="V136" s="75">
        <f>SUM(S136+T136+U136)</f>
        <v>48.635189999999994</v>
      </c>
    </row>
    <row r="137" spans="2:22" ht="12.75">
      <c r="B137" s="66"/>
      <c r="C137" s="66">
        <f>SUBTOTAL(9,C136:C136)</f>
        <v>2</v>
      </c>
      <c r="D137" s="66"/>
      <c r="E137" s="66"/>
      <c r="F137" s="66"/>
      <c r="G137" s="66"/>
      <c r="H137" s="66"/>
      <c r="I137" s="66"/>
      <c r="J137" s="71">
        <f>SUBTOTAL(9,J136:J136)</f>
        <v>5.171999999999999</v>
      </c>
      <c r="K137" s="76">
        <f>SUBTOTAL(9,K136:K136)</f>
        <v>3.8071</v>
      </c>
      <c r="L137" s="76">
        <f>SUBTOTAL(9,L136:L136)</f>
        <v>10.9505</v>
      </c>
      <c r="M137" s="71">
        <f>SUBTOTAL(9,M136:M136)</f>
        <v>0.5475260000000001</v>
      </c>
      <c r="N137" s="76">
        <f>SUBTOTAL(9,N136:N136)</f>
        <v>0</v>
      </c>
      <c r="O137" s="76">
        <f>SUBTOTAL(9,O136:O136)</f>
        <v>10</v>
      </c>
      <c r="P137" s="71">
        <f>SUBTOTAL(9,P136:P136)</f>
        <v>0.25</v>
      </c>
      <c r="Q137" s="76">
        <f>SUBTOTAL(9,Q136:Q136)</f>
        <v>7.66586</v>
      </c>
      <c r="R137" s="76">
        <f>SUBTOTAL(9,R136:R136)</f>
        <v>16.21173</v>
      </c>
      <c r="S137" s="76">
        <f>SUBTOTAL(9,S136:S136)</f>
        <v>48.635189999999994</v>
      </c>
      <c r="T137" s="76">
        <f>SUBTOTAL(9,T136:T136)</f>
        <v>0</v>
      </c>
      <c r="U137" s="76">
        <f>SUBTOTAL(9,U136:U136)</f>
        <v>0</v>
      </c>
      <c r="V137" s="76">
        <f>SUBTOTAL(9,V136:V136)</f>
        <v>48.635189999999994</v>
      </c>
    </row>
    <row r="138" spans="3:23" ht="12.75">
      <c r="C138" s="114">
        <v>2</v>
      </c>
      <c r="D138" s="114" t="s">
        <v>416</v>
      </c>
      <c r="E138" s="114"/>
      <c r="F138" s="114"/>
      <c r="G138" s="114"/>
      <c r="H138" s="114"/>
      <c r="I138" s="114"/>
      <c r="J138" s="115">
        <f>J137/$C138</f>
        <v>2.5859999999999994</v>
      </c>
      <c r="K138" s="116">
        <f>K137/$C138</f>
        <v>1.90355</v>
      </c>
      <c r="L138" s="116">
        <f>L137/$C138</f>
        <v>5.47525</v>
      </c>
      <c r="M138" s="115">
        <f>M137/$C138</f>
        <v>0.27376300000000003</v>
      </c>
      <c r="N138" s="116">
        <f>N137/$C138</f>
        <v>0</v>
      </c>
      <c r="O138" s="116">
        <f>O137/$C138</f>
        <v>5</v>
      </c>
      <c r="P138" s="115">
        <f>P137/$C138</f>
        <v>0.125</v>
      </c>
      <c r="Q138" s="116"/>
      <c r="R138" s="116"/>
      <c r="S138" s="116">
        <f>S137/$C138</f>
        <v>24.317594999999997</v>
      </c>
      <c r="T138" s="116"/>
      <c r="U138" s="116"/>
      <c r="V138" s="116"/>
      <c r="W138" s="31" t="str">
        <f>FIXED(C138,0)&amp;" Units @ "&amp;DOLLAR(S138)&amp;" per Each"</f>
        <v>2 Units @ $24.32 per Each</v>
      </c>
    </row>
    <row r="139" spans="3:23" ht="12.75">
      <c r="C139" s="114">
        <v>2</v>
      </c>
      <c r="D139" s="114" t="s">
        <v>416</v>
      </c>
      <c r="E139" s="114"/>
      <c r="F139" s="114"/>
      <c r="G139" s="114"/>
      <c r="H139" s="114"/>
      <c r="I139" s="114"/>
      <c r="J139" s="115">
        <f>J137/$C139</f>
        <v>2.5859999999999994</v>
      </c>
      <c r="K139" s="116">
        <f>K137/$C139</f>
        <v>1.90355</v>
      </c>
      <c r="L139" s="116">
        <f>L137/$C139</f>
        <v>5.47525</v>
      </c>
      <c r="M139" s="115">
        <f>M137/$C139</f>
        <v>0.27376300000000003</v>
      </c>
      <c r="N139" s="116">
        <f>N137/$C139</f>
        <v>0</v>
      </c>
      <c r="O139" s="116">
        <f>O137/$C139</f>
        <v>5</v>
      </c>
      <c r="P139" s="115">
        <f>P138/$C139</f>
        <v>0.0625</v>
      </c>
      <c r="Q139" s="116"/>
      <c r="R139" s="116"/>
      <c r="S139" s="116">
        <f>S137/$C139</f>
        <v>24.317594999999997</v>
      </c>
      <c r="T139" s="116"/>
      <c r="U139" s="116"/>
      <c r="V139" s="116"/>
      <c r="W139" s="31" t="str">
        <f>FIXED(C139,1)&amp;" Each @ "&amp;DOLLAR(S139)&amp;" per Each"</f>
        <v>2.0 Each @ $24.32 per Each</v>
      </c>
    </row>
    <row r="140" spans="10:22" ht="12.75">
      <c r="J140" s="45"/>
      <c r="K140" s="73"/>
      <c r="L140" s="73"/>
      <c r="M140" s="45"/>
      <c r="N140" s="73"/>
      <c r="O140" s="73"/>
      <c r="P140" s="45"/>
      <c r="Q140" s="73"/>
      <c r="R140" s="73"/>
      <c r="S140" s="73"/>
      <c r="T140" s="73"/>
      <c r="U140" s="73"/>
      <c r="V140" s="73"/>
    </row>
    <row r="141" spans="10:22" ht="12.75">
      <c r="J141" s="45"/>
      <c r="K141" s="73"/>
      <c r="L141" s="73"/>
      <c r="M141" s="45"/>
      <c r="N141" s="73"/>
      <c r="O141" s="73"/>
      <c r="P141" s="45"/>
      <c r="Q141" s="73"/>
      <c r="R141" s="73"/>
      <c r="S141" s="73"/>
      <c r="T141" s="73"/>
      <c r="U141" s="73"/>
      <c r="V141" s="73"/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Jewellers&amp;CProduct Summary list&amp;R&amp;P/&amp;N</oddHeader>
    <oddFooter>&amp;LCompany&amp;RWednesday, November 5, 2014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workbookViewId="0" topLeftCell="A1">
      <selection activeCell="A1" sqref="A1"/>
    </sheetView>
  </sheetViews>
  <sheetFormatPr defaultColWidth="9.140625" defaultRowHeight="12.75" outlineLevelRow="2" outlineLevelCol="1"/>
  <cols>
    <col min="1" max="1" width="24.140625" style="0" bestFit="1" customWidth="1"/>
    <col min="2" max="2" width="15.00390625" style="0" bestFit="1" customWidth="1"/>
    <col min="3" max="3" width="8.140625" style="0" bestFit="1" customWidth="1"/>
    <col min="4" max="4" width="6.421875" style="0" bestFit="1" customWidth="1" outlineLevel="1"/>
    <col min="5" max="5" width="28.8515625" style="0" bestFit="1" customWidth="1" outlineLevel="1"/>
    <col min="6" max="6" width="12.7109375" style="0" bestFit="1" customWidth="1"/>
    <col min="7" max="8" width="11.421875" style="0" bestFit="1" customWidth="1"/>
    <col min="9" max="9" width="12.7109375" style="0" bestFit="1" customWidth="1"/>
    <col min="10" max="10" width="7.28125" style="0" bestFit="1" customWidth="1"/>
    <col min="11" max="11" width="34.00390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9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</row>
    <row r="10" spans="1:9" ht="15.75">
      <c r="A10" s="63" t="s">
        <v>432</v>
      </c>
      <c r="C10" s="45"/>
      <c r="F10" s="85"/>
      <c r="G10" s="85"/>
      <c r="H10" s="85"/>
      <c r="I10" s="85"/>
    </row>
    <row r="11" spans="3:9" ht="12.75" outlineLevel="1">
      <c r="C11" s="69" t="s">
        <v>197</v>
      </c>
      <c r="D11" s="64" t="s">
        <v>274</v>
      </c>
      <c r="E11" s="64" t="s">
        <v>345</v>
      </c>
      <c r="F11" s="86" t="s">
        <v>276</v>
      </c>
      <c r="G11" s="86" t="s">
        <v>14</v>
      </c>
      <c r="H11" s="86" t="s">
        <v>12</v>
      </c>
      <c r="I11" s="86" t="s">
        <v>433</v>
      </c>
    </row>
    <row r="12" spans="3:9" ht="12.75" outlineLevel="2">
      <c r="C12" s="70">
        <v>7.8425</v>
      </c>
      <c r="D12" s="65" t="s">
        <v>347</v>
      </c>
      <c r="E12" s="65" t="s">
        <v>348</v>
      </c>
      <c r="F12" s="87">
        <v>156.85</v>
      </c>
      <c r="G12" s="87">
        <f>F12*Recap_LaborMU</f>
        <v>47.055</v>
      </c>
      <c r="H12" s="87">
        <f>(F12+G12)*Recap_FeeMU</f>
        <v>101.9525</v>
      </c>
      <c r="I12" s="87">
        <f>SUM(F12:H12)</f>
        <v>305.8575</v>
      </c>
    </row>
    <row r="13" spans="3:9" ht="12.75" outlineLevel="2">
      <c r="C13" s="70">
        <v>12.75</v>
      </c>
      <c r="D13" s="65" t="s">
        <v>347</v>
      </c>
      <c r="E13" s="65" t="s">
        <v>349</v>
      </c>
      <c r="F13" s="87">
        <v>255</v>
      </c>
      <c r="G13" s="87">
        <f>F13*Recap_LaborMU</f>
        <v>76.5</v>
      </c>
      <c r="H13" s="87">
        <f>(F13+G13)*Recap_FeeMU</f>
        <v>165.75</v>
      </c>
      <c r="I13" s="87">
        <f>SUM(F13:H13)</f>
        <v>497.25</v>
      </c>
    </row>
    <row r="14" spans="3:9" ht="12.75" outlineLevel="2">
      <c r="C14" s="70">
        <v>7.2</v>
      </c>
      <c r="D14" s="65" t="s">
        <v>347</v>
      </c>
      <c r="E14" s="65" t="s">
        <v>350</v>
      </c>
      <c r="F14" s="87">
        <v>144</v>
      </c>
      <c r="G14" s="87">
        <f>F14*Recap_LaborMU</f>
        <v>43.199999999999996</v>
      </c>
      <c r="H14" s="87">
        <f>(F14+G14)*Recap_FeeMU</f>
        <v>93.6</v>
      </c>
      <c r="I14" s="87">
        <f>SUM(F14:H14)</f>
        <v>280.79999999999995</v>
      </c>
    </row>
    <row r="15" spans="3:9" ht="12.75" outlineLevel="2">
      <c r="C15" s="70">
        <v>2.7609519999999996</v>
      </c>
      <c r="D15" s="65" t="s">
        <v>347</v>
      </c>
      <c r="E15" s="65" t="s">
        <v>351</v>
      </c>
      <c r="F15" s="87">
        <v>55.21903999999999</v>
      </c>
      <c r="G15" s="87">
        <f>F15*Recap_LaborMU</f>
        <v>16.565711999999998</v>
      </c>
      <c r="H15" s="87">
        <f>(F15+G15)*Recap_FeeMU</f>
        <v>35.892376</v>
      </c>
      <c r="I15" s="87">
        <f>SUM(F15:H15)</f>
        <v>107.677128</v>
      </c>
    </row>
    <row r="16" spans="3:9" ht="12.75" outlineLevel="2">
      <c r="C16" s="70">
        <v>3.2488</v>
      </c>
      <c r="D16" s="65" t="s">
        <v>347</v>
      </c>
      <c r="E16" s="65" t="s">
        <v>352</v>
      </c>
      <c r="F16" s="87">
        <v>64.976</v>
      </c>
      <c r="G16" s="87">
        <f>F16*Recap_LaborMU</f>
        <v>19.4928</v>
      </c>
      <c r="H16" s="87">
        <f>(F16+G16)*Recap_FeeMU</f>
        <v>42.2344</v>
      </c>
      <c r="I16" s="87">
        <f>SUM(F16:H16)</f>
        <v>126.70320000000001</v>
      </c>
    </row>
    <row r="17" spans="3:9" ht="12.75" outlineLevel="2">
      <c r="C17" s="70">
        <v>0.4978</v>
      </c>
      <c r="D17" s="65" t="s">
        <v>347</v>
      </c>
      <c r="E17" s="65" t="s">
        <v>353</v>
      </c>
      <c r="F17" s="87">
        <v>9.956000000000001</v>
      </c>
      <c r="G17" s="87">
        <f>F17*Recap_LaborMU</f>
        <v>2.9868</v>
      </c>
      <c r="H17" s="87">
        <f>(F17+G17)*Recap_FeeMU</f>
        <v>6.471400000000001</v>
      </c>
      <c r="I17" s="87">
        <f>SUM(F17:H17)</f>
        <v>19.4142</v>
      </c>
    </row>
    <row r="18" spans="3:9" ht="12.75" outlineLevel="2">
      <c r="C18" s="70">
        <v>5.653398562500001</v>
      </c>
      <c r="D18" s="65" t="s">
        <v>347</v>
      </c>
      <c r="E18" s="65" t="s">
        <v>354</v>
      </c>
      <c r="F18" s="87">
        <v>113.06797125000001</v>
      </c>
      <c r="G18" s="87">
        <f>F18*Recap_LaborMU</f>
        <v>33.920391375</v>
      </c>
      <c r="H18" s="87">
        <f>(F18+G18)*Recap_FeeMU</f>
        <v>73.4941813125</v>
      </c>
      <c r="I18" s="87">
        <f>SUM(F18:H18)</f>
        <v>220.4825439375</v>
      </c>
    </row>
    <row r="19" spans="2:11" ht="12.75" outlineLevel="1">
      <c r="B19" t="s">
        <v>346</v>
      </c>
      <c r="C19" s="45">
        <f>SUBTOTAL(9,C12:C18)</f>
        <v>39.9534505625</v>
      </c>
      <c r="F19" s="85">
        <f>SUBTOTAL(9,F12:F18)</f>
        <v>799.06901125</v>
      </c>
      <c r="G19" s="85">
        <f>SUBTOTAL(9,G12:G18)</f>
        <v>239.72070337499997</v>
      </c>
      <c r="H19" s="85">
        <f>SUBTOTAL(9,H12:H18)</f>
        <v>519.3948573125</v>
      </c>
      <c r="I19" s="85">
        <f>SUBTOTAL(9,I12:I18)</f>
        <v>1558.1845719374999</v>
      </c>
      <c r="J19" s="53">
        <f>I19/LABOR1Total</f>
        <v>0.6133873241968492</v>
      </c>
      <c r="K19" s="117" t="str">
        <f>REPT("█",J19*100/4)</f>
        <v>███████████████</v>
      </c>
    </row>
    <row r="20" spans="3:9" ht="12.75" outlineLevel="2">
      <c r="C20" s="70">
        <v>4.062666666666667</v>
      </c>
      <c r="D20" s="65" t="s">
        <v>347</v>
      </c>
      <c r="E20" s="65" t="s">
        <v>356</v>
      </c>
      <c r="F20" s="87">
        <v>81.25333333333334</v>
      </c>
      <c r="G20" s="87">
        <f>F20*Recap_LaborMU</f>
        <v>24.376</v>
      </c>
      <c r="H20" s="87">
        <f>(F20+G20)*Recap_FeeMU</f>
        <v>52.814666666666675</v>
      </c>
      <c r="I20" s="87">
        <f>SUM(F20:H20)</f>
        <v>158.44400000000002</v>
      </c>
    </row>
    <row r="21" spans="3:9" ht="12.75" outlineLevel="2">
      <c r="C21" s="70">
        <v>0.08</v>
      </c>
      <c r="D21" s="65" t="s">
        <v>347</v>
      </c>
      <c r="E21" s="65" t="s">
        <v>350</v>
      </c>
      <c r="F21" s="87">
        <v>1.6</v>
      </c>
      <c r="G21" s="87">
        <f>F21*Recap_LaborMU</f>
        <v>0.48</v>
      </c>
      <c r="H21" s="87">
        <f>(F21+G21)*Recap_FeeMU</f>
        <v>1.04</v>
      </c>
      <c r="I21" s="87">
        <f>SUM(F21:H21)</f>
        <v>3.12</v>
      </c>
    </row>
    <row r="22" spans="3:9" ht="12.75" outlineLevel="2">
      <c r="C22" s="70">
        <v>0.375</v>
      </c>
      <c r="D22" s="65" t="s">
        <v>347</v>
      </c>
      <c r="E22" s="65" t="s">
        <v>357</v>
      </c>
      <c r="F22" s="87">
        <v>7.5</v>
      </c>
      <c r="G22" s="87">
        <f>F22*Recap_LaborMU</f>
        <v>2.25</v>
      </c>
      <c r="H22" s="87">
        <f>(F22+G22)*Recap_FeeMU</f>
        <v>4.875</v>
      </c>
      <c r="I22" s="87">
        <f>SUM(F22:H22)</f>
        <v>14.625</v>
      </c>
    </row>
    <row r="23" spans="3:9" ht="12.75" outlineLevel="2">
      <c r="C23" s="70">
        <v>2.0849444444444445</v>
      </c>
      <c r="D23" s="65" t="s">
        <v>347</v>
      </c>
      <c r="E23" s="65" t="s">
        <v>358</v>
      </c>
      <c r="F23" s="87">
        <v>41.69888888888889</v>
      </c>
      <c r="G23" s="87">
        <f>F23*Recap_LaborMU</f>
        <v>12.509666666666666</v>
      </c>
      <c r="H23" s="87">
        <f>(F23+G23)*Recap_FeeMU</f>
        <v>27.104277777777778</v>
      </c>
      <c r="I23" s="87">
        <f>SUM(F23:H23)</f>
        <v>81.31283333333333</v>
      </c>
    </row>
    <row r="24" spans="2:11" ht="12.75" outlineLevel="1">
      <c r="B24" t="s">
        <v>355</v>
      </c>
      <c r="C24" s="45">
        <f>SUBTOTAL(9,C20:C23)</f>
        <v>6.602611111111111</v>
      </c>
      <c r="F24" s="85">
        <f>SUBTOTAL(9,F20:F23)</f>
        <v>132.0522222222222</v>
      </c>
      <c r="G24" s="85">
        <f>SUBTOTAL(9,G20:G23)</f>
        <v>39.61566666666667</v>
      </c>
      <c r="H24" s="85">
        <f>SUBTOTAL(9,H20:H23)</f>
        <v>85.83394444444446</v>
      </c>
      <c r="I24" s="85">
        <f>SUBTOTAL(9,I20:I23)</f>
        <v>257.50183333333337</v>
      </c>
      <c r="J24" s="53">
        <f>I24/LABOR1Total</f>
        <v>0.1013669133738874</v>
      </c>
      <c r="K24" s="117" t="str">
        <f>REPT("█",J24*100/4)</f>
        <v>██</v>
      </c>
    </row>
    <row r="25" spans="3:9" ht="12.75" outlineLevel="2">
      <c r="C25" s="70">
        <v>3.5</v>
      </c>
      <c r="D25" s="65" t="s">
        <v>347</v>
      </c>
      <c r="E25" s="65" t="s">
        <v>360</v>
      </c>
      <c r="F25" s="87">
        <v>70</v>
      </c>
      <c r="G25" s="87">
        <f>F25*Recap_LaborMU</f>
        <v>21</v>
      </c>
      <c r="H25" s="87">
        <f>(F25+G25)*Recap_FeeMU</f>
        <v>45.5</v>
      </c>
      <c r="I25" s="87">
        <f>SUM(F25:H25)</f>
        <v>136.5</v>
      </c>
    </row>
    <row r="26" spans="3:9" ht="12.75" outlineLevel="2">
      <c r="C26" s="70">
        <v>0.45</v>
      </c>
      <c r="D26" s="65" t="s">
        <v>347</v>
      </c>
      <c r="E26" s="65" t="s">
        <v>361</v>
      </c>
      <c r="F26" s="87">
        <v>9</v>
      </c>
      <c r="G26" s="87">
        <f>F26*Recap_LaborMU</f>
        <v>2.6999999999999997</v>
      </c>
      <c r="H26" s="87">
        <f>(F26+G26)*Recap_FeeMU</f>
        <v>5.85</v>
      </c>
      <c r="I26" s="87">
        <f>SUM(F26:H26)</f>
        <v>17.549999999999997</v>
      </c>
    </row>
    <row r="27" spans="3:9" ht="12.75" outlineLevel="2">
      <c r="C27" s="70">
        <v>1.8172000000000001</v>
      </c>
      <c r="D27" s="65" t="s">
        <v>347</v>
      </c>
      <c r="E27" s="65" t="s">
        <v>362</v>
      </c>
      <c r="F27" s="87">
        <v>36.34400000000001</v>
      </c>
      <c r="G27" s="87">
        <f>F27*Recap_LaborMU</f>
        <v>10.903200000000002</v>
      </c>
      <c r="H27" s="87">
        <f>(F27+G27)*Recap_FeeMU</f>
        <v>23.623600000000003</v>
      </c>
      <c r="I27" s="87">
        <f>SUM(F27:H27)</f>
        <v>70.8708</v>
      </c>
    </row>
    <row r="28" spans="2:11" ht="12.75" outlineLevel="1">
      <c r="B28" t="s">
        <v>359</v>
      </c>
      <c r="C28" s="45">
        <f>SUBTOTAL(9,C25:C27)</f>
        <v>5.767200000000001</v>
      </c>
      <c r="F28" s="85">
        <f>SUBTOTAL(9,F25:F27)</f>
        <v>115.34400000000001</v>
      </c>
      <c r="G28" s="85">
        <f>SUBTOTAL(9,G25:G27)</f>
        <v>34.6032</v>
      </c>
      <c r="H28" s="85">
        <f>SUBTOTAL(9,H25:H27)</f>
        <v>74.9736</v>
      </c>
      <c r="I28" s="85">
        <f>SUBTOTAL(9,I25:I27)</f>
        <v>224.9208</v>
      </c>
      <c r="J28" s="53">
        <f>I28/LABOR1Total</f>
        <v>0.08854122300586384</v>
      </c>
      <c r="K28" s="117" t="str">
        <f>REPT("█",J28*100/4)</f>
        <v>██</v>
      </c>
    </row>
    <row r="29" spans="3:9" ht="12.75" outlineLevel="2">
      <c r="C29" s="70">
        <v>12.8125</v>
      </c>
      <c r="D29" s="65" t="s">
        <v>347</v>
      </c>
      <c r="E29" s="65" t="s">
        <v>363</v>
      </c>
      <c r="F29" s="87">
        <v>256.25</v>
      </c>
      <c r="G29" s="87">
        <f>F29*Recap_LaborMU</f>
        <v>76.875</v>
      </c>
      <c r="H29" s="87">
        <f>(F29+G29)*Recap_FeeMU</f>
        <v>166.5625</v>
      </c>
      <c r="I29" s="87">
        <f>SUM(F29:H29)</f>
        <v>499.6875</v>
      </c>
    </row>
    <row r="30" spans="2:11" ht="13.5" outlineLevel="1" thickBot="1">
      <c r="B30" t="s">
        <v>298</v>
      </c>
      <c r="C30" s="45">
        <f>SUBTOTAL(9,C29:C29)</f>
        <v>12.8125</v>
      </c>
      <c r="F30" s="85">
        <f>SUBTOTAL(9,F29:F29)</f>
        <v>256.25</v>
      </c>
      <c r="G30" s="85">
        <f>SUBTOTAL(9,G29:G29)</f>
        <v>76.875</v>
      </c>
      <c r="H30" s="85">
        <f>SUBTOTAL(9,H29:H29)</f>
        <v>166.5625</v>
      </c>
      <c r="I30" s="85">
        <f>SUBTOTAL(9,I29:I29)</f>
        <v>499.6875</v>
      </c>
      <c r="J30" s="53">
        <f>I30/LABOR1Total</f>
        <v>0.19670453942339966</v>
      </c>
      <c r="K30" s="117" t="str">
        <f>REPT("█",J30*100/4)</f>
        <v>████</v>
      </c>
    </row>
    <row r="31" spans="3:9" ht="13.5" thickTop="1">
      <c r="C31" s="83">
        <f>SUBTOTAL(9,C12:C29)</f>
        <v>65.13576167361111</v>
      </c>
      <c r="D31" s="81"/>
      <c r="E31" s="81" t="s">
        <v>434</v>
      </c>
      <c r="F31" s="89">
        <f>SUBTOTAL(9,F12:F29)</f>
        <v>1302.7152334722223</v>
      </c>
      <c r="G31" s="89">
        <f>SUBTOTAL(9,G12:G29)</f>
        <v>390.8145700416666</v>
      </c>
      <c r="H31" s="89">
        <f>SUBTOTAL(9,H12:H29)</f>
        <v>846.7649017569444</v>
      </c>
      <c r="I31" s="89">
        <f>SUBTOTAL(9,I12:I29)</f>
        <v>2540.294705270833</v>
      </c>
    </row>
    <row r="32" spans="3:9" ht="12.75">
      <c r="C32" s="45"/>
      <c r="F32" s="85"/>
      <c r="G32" s="85"/>
      <c r="H32" s="85"/>
      <c r="I32" s="85"/>
    </row>
    <row r="33" spans="1:9" ht="15.75">
      <c r="A33" s="63" t="s">
        <v>435</v>
      </c>
      <c r="C33" s="45"/>
      <c r="F33" s="85"/>
      <c r="G33" s="85"/>
      <c r="H33" s="85"/>
      <c r="I33" s="85"/>
    </row>
    <row r="34" spans="3:9" ht="12.75" outlineLevel="1">
      <c r="C34" s="69" t="s">
        <v>197</v>
      </c>
      <c r="D34" s="64" t="s">
        <v>274</v>
      </c>
      <c r="E34" s="64" t="s">
        <v>345</v>
      </c>
      <c r="F34" s="86" t="s">
        <v>276</v>
      </c>
      <c r="G34" s="86" t="s">
        <v>14</v>
      </c>
      <c r="H34" s="86" t="s">
        <v>12</v>
      </c>
      <c r="I34" s="86" t="s">
        <v>433</v>
      </c>
    </row>
    <row r="35" spans="3:9" ht="12.75" outlineLevel="2">
      <c r="C35" s="70">
        <v>8.75</v>
      </c>
      <c r="D35" s="65" t="s">
        <v>347</v>
      </c>
      <c r="E35" s="65" t="s">
        <v>367</v>
      </c>
      <c r="F35" s="87">
        <v>350</v>
      </c>
      <c r="G35" s="87">
        <f>F35*Recap_LaborMU2</f>
        <v>140</v>
      </c>
      <c r="H35" s="87">
        <f>(F35+G35)*Recap_FeeMU</f>
        <v>245</v>
      </c>
      <c r="I35" s="87">
        <f>SUM(F35:H35)</f>
        <v>735</v>
      </c>
    </row>
    <row r="36" spans="3:9" ht="12.75" outlineLevel="2">
      <c r="C36" s="70">
        <v>0.5</v>
      </c>
      <c r="D36" s="65" t="s">
        <v>347</v>
      </c>
      <c r="E36" s="65" t="s">
        <v>368</v>
      </c>
      <c r="F36" s="87">
        <v>20</v>
      </c>
      <c r="G36" s="87">
        <f>F36*Recap_LaborMU2</f>
        <v>8</v>
      </c>
      <c r="H36" s="87">
        <f>(F36+G36)*Recap_FeeMU</f>
        <v>14</v>
      </c>
      <c r="I36" s="87">
        <f>SUM(F36:H36)</f>
        <v>42</v>
      </c>
    </row>
    <row r="37" spans="2:11" ht="12.75" outlineLevel="1">
      <c r="B37" t="s">
        <v>366</v>
      </c>
      <c r="C37" s="45">
        <f>SUBTOTAL(9,C35:C36)</f>
        <v>9.25</v>
      </c>
      <c r="F37" s="85">
        <f>SUBTOTAL(9,F35:F36)</f>
        <v>370</v>
      </c>
      <c r="G37" s="85">
        <f>SUBTOTAL(9,G35:G36)</f>
        <v>148</v>
      </c>
      <c r="H37" s="85">
        <f>SUBTOTAL(9,H35:H36)</f>
        <v>259</v>
      </c>
      <c r="I37" s="85">
        <f>SUBTOTAL(9,I35:I36)</f>
        <v>777</v>
      </c>
      <c r="J37" s="53">
        <f>I37/LABOR2Total</f>
        <v>0.08705199455647408</v>
      </c>
      <c r="K37" s="117" t="str">
        <f>REPT("█",J37*100/4)</f>
        <v>██</v>
      </c>
    </row>
    <row r="38" spans="3:9" ht="12.75" outlineLevel="2">
      <c r="C38" s="70">
        <v>2.1333333333333333</v>
      </c>
      <c r="D38" s="65" t="s">
        <v>347</v>
      </c>
      <c r="E38" s="65" t="s">
        <v>370</v>
      </c>
      <c r="F38" s="87">
        <v>85.3334</v>
      </c>
      <c r="G38" s="87">
        <f>F38*Recap_LaborMU2</f>
        <v>34.13336</v>
      </c>
      <c r="H38" s="87">
        <f>(F38+G38)*Recap_FeeMU</f>
        <v>59.73338</v>
      </c>
      <c r="I38" s="87">
        <f>SUM(F38:H38)</f>
        <v>179.20013999999998</v>
      </c>
    </row>
    <row r="39" spans="3:9" ht="12.75" outlineLevel="2">
      <c r="C39" s="70">
        <v>0.375</v>
      </c>
      <c r="D39" s="65" t="s">
        <v>347</v>
      </c>
      <c r="E39" s="65" t="s">
        <v>371</v>
      </c>
      <c r="F39" s="87">
        <v>15</v>
      </c>
      <c r="G39" s="87">
        <f>F39*Recap_LaborMU2</f>
        <v>6</v>
      </c>
      <c r="H39" s="87">
        <f>(F39+G39)*Recap_FeeMU</f>
        <v>10.5</v>
      </c>
      <c r="I39" s="87">
        <f>SUM(F39:H39)</f>
        <v>31.5</v>
      </c>
    </row>
    <row r="40" spans="2:11" ht="12.75" outlineLevel="1">
      <c r="B40" t="s">
        <v>369</v>
      </c>
      <c r="C40" s="45">
        <f>SUBTOTAL(9,C38:C39)</f>
        <v>2.5083333333333333</v>
      </c>
      <c r="F40" s="85">
        <f>SUBTOTAL(9,F38:F39)</f>
        <v>100.3334</v>
      </c>
      <c r="G40" s="85">
        <f>SUBTOTAL(9,G38:G39)</f>
        <v>40.13336</v>
      </c>
      <c r="H40" s="85">
        <f>SUBTOTAL(9,H38:H39)</f>
        <v>70.23338</v>
      </c>
      <c r="I40" s="85">
        <f>SUBTOTAL(9,I38:I39)</f>
        <v>210.70013999999998</v>
      </c>
      <c r="J40" s="53">
        <f>I40/LABOR2Total</f>
        <v>0.023606007001709554</v>
      </c>
      <c r="K40" s="117">
        <f>REPT("█",J40*100/4)</f>
      </c>
    </row>
    <row r="41" spans="3:9" ht="12.75" outlineLevel="2">
      <c r="C41" s="70">
        <v>2.5</v>
      </c>
      <c r="D41" s="65" t="s">
        <v>347</v>
      </c>
      <c r="E41" s="65" t="s">
        <v>373</v>
      </c>
      <c r="F41" s="87">
        <v>100</v>
      </c>
      <c r="G41" s="87">
        <f>F41*Recap_LaborMU2</f>
        <v>40</v>
      </c>
      <c r="H41" s="87">
        <f>(F41+G41)*Recap_FeeMU</f>
        <v>70</v>
      </c>
      <c r="I41" s="87">
        <f>SUM(F41:H41)</f>
        <v>210</v>
      </c>
    </row>
    <row r="42" spans="2:11" ht="12.75" outlineLevel="1">
      <c r="B42" t="s">
        <v>372</v>
      </c>
      <c r="C42" s="45">
        <f>SUBTOTAL(9,C41:C41)</f>
        <v>2.5</v>
      </c>
      <c r="F42" s="85">
        <f>SUBTOTAL(9,F41:F41)</f>
        <v>100</v>
      </c>
      <c r="G42" s="85">
        <f>SUBTOTAL(9,G41:G41)</f>
        <v>40</v>
      </c>
      <c r="H42" s="85">
        <f>SUBTOTAL(9,H41:H41)</f>
        <v>70</v>
      </c>
      <c r="I42" s="85">
        <f>SUBTOTAL(9,I41:I41)</f>
        <v>210</v>
      </c>
      <c r="J42" s="53">
        <f>I42/LABOR2Total</f>
        <v>0.023527566096344345</v>
      </c>
      <c r="K42" s="117">
        <f>REPT("█",J42*100/4)</f>
      </c>
    </row>
    <row r="43" spans="3:9" ht="12.75" outlineLevel="2">
      <c r="C43" s="70">
        <v>92</v>
      </c>
      <c r="D43" s="65" t="s">
        <v>347</v>
      </c>
      <c r="E43" s="65" t="s">
        <v>375</v>
      </c>
      <c r="F43" s="87">
        <v>3680</v>
      </c>
      <c r="G43" s="87">
        <f>F43*Recap_LaborMU2</f>
        <v>1472</v>
      </c>
      <c r="H43" s="87">
        <f>(F43+G43)*Recap_FeeMU</f>
        <v>2576</v>
      </c>
      <c r="I43" s="87">
        <f>SUM(F43:H43)</f>
        <v>7728</v>
      </c>
    </row>
    <row r="44" spans="2:11" ht="13.5" outlineLevel="1" thickBot="1">
      <c r="B44" t="s">
        <v>374</v>
      </c>
      <c r="C44" s="45">
        <f>SUBTOTAL(9,C43:C43)</f>
        <v>92</v>
      </c>
      <c r="F44" s="85">
        <f>SUBTOTAL(9,F43:F43)</f>
        <v>3680</v>
      </c>
      <c r="G44" s="85">
        <f>SUBTOTAL(9,G43:G43)</f>
        <v>1472</v>
      </c>
      <c r="H44" s="85">
        <f>SUBTOTAL(9,H43:H43)</f>
        <v>2576</v>
      </c>
      <c r="I44" s="85">
        <f>SUBTOTAL(9,I43:I43)</f>
        <v>7728</v>
      </c>
      <c r="J44" s="53">
        <f>I44/LABOR2Total</f>
        <v>0.865814432345472</v>
      </c>
      <c r="K44" s="117" t="str">
        <f>REPT("█",J44*100/4)</f>
        <v>█████████████████████</v>
      </c>
    </row>
    <row r="45" spans="3:9" ht="13.5" thickTop="1">
      <c r="C45" s="83">
        <f>SUBTOTAL(9,C35:C43)</f>
        <v>106.25833333333333</v>
      </c>
      <c r="D45" s="81"/>
      <c r="E45" s="81" t="s">
        <v>436</v>
      </c>
      <c r="F45" s="89">
        <f>SUBTOTAL(9,F35:F43)</f>
        <v>4250.3333999999995</v>
      </c>
      <c r="G45" s="89">
        <f>SUBTOTAL(9,G35:G43)</f>
        <v>1700.13336</v>
      </c>
      <c r="H45" s="89">
        <f>SUBTOTAL(9,H35:H43)</f>
        <v>2975.23338</v>
      </c>
      <c r="I45" s="89">
        <f>SUBTOTAL(9,I35:I43)</f>
        <v>8925.70014</v>
      </c>
    </row>
    <row r="46" spans="3:9" ht="12.75">
      <c r="C46" s="45"/>
      <c r="F46" s="85"/>
      <c r="G46" s="85"/>
      <c r="H46" s="85"/>
      <c r="I46" s="85"/>
    </row>
    <row r="47" spans="3:9" ht="12.75">
      <c r="C47" s="45"/>
      <c r="F47" s="85"/>
      <c r="G47" s="85"/>
      <c r="H47" s="85"/>
      <c r="I47" s="85"/>
    </row>
    <row r="48" spans="1:9" ht="15.75">
      <c r="A48" s="63" t="s">
        <v>437</v>
      </c>
      <c r="C48" s="45"/>
      <c r="F48" s="85"/>
      <c r="G48" s="85"/>
      <c r="H48" s="85"/>
      <c r="I48" s="85"/>
    </row>
    <row r="49" spans="3:9" ht="12.75" outlineLevel="1">
      <c r="C49" s="69" t="s">
        <v>273</v>
      </c>
      <c r="D49" s="64" t="s">
        <v>274</v>
      </c>
      <c r="E49" s="64" t="s">
        <v>275</v>
      </c>
      <c r="F49" s="86" t="s">
        <v>276</v>
      </c>
      <c r="G49" s="86" t="s">
        <v>14</v>
      </c>
      <c r="H49" s="86" t="s">
        <v>12</v>
      </c>
      <c r="I49" s="86" t="s">
        <v>433</v>
      </c>
    </row>
    <row r="50" spans="3:9" ht="12.75" outlineLevel="2">
      <c r="C50" s="70">
        <v>12</v>
      </c>
      <c r="D50" s="65" t="s">
        <v>280</v>
      </c>
      <c r="E50" s="65" t="s">
        <v>281</v>
      </c>
      <c r="F50" s="87">
        <v>1.44</v>
      </c>
      <c r="G50" s="87">
        <f>F50*Recap_MaterialMU</f>
        <v>0.144</v>
      </c>
      <c r="H50" s="87">
        <f>(F50+G50)*Recap_FeeMU</f>
        <v>0.7919999999999999</v>
      </c>
      <c r="I50" s="87">
        <f>SUM(F50:H50)</f>
        <v>2.376</v>
      </c>
    </row>
    <row r="51" spans="3:9" ht="12.75" outlineLevel="2">
      <c r="C51" s="70">
        <v>401</v>
      </c>
      <c r="D51" s="65" t="s">
        <v>280</v>
      </c>
      <c r="E51" s="65" t="s">
        <v>282</v>
      </c>
      <c r="F51" s="87">
        <v>48.12</v>
      </c>
      <c r="G51" s="87">
        <f>F51*Recap_MaterialMU</f>
        <v>4.812</v>
      </c>
      <c r="H51" s="87">
        <f>(F51+G51)*Recap_FeeMU</f>
        <v>26.465999999999998</v>
      </c>
      <c r="I51" s="87">
        <f>SUM(F51:H51)</f>
        <v>79.398</v>
      </c>
    </row>
    <row r="52" spans="3:9" ht="12.75" outlineLevel="2">
      <c r="C52" s="70">
        <v>71</v>
      </c>
      <c r="D52" s="65" t="s">
        <v>280</v>
      </c>
      <c r="E52" s="65" t="s">
        <v>283</v>
      </c>
      <c r="F52" s="87">
        <v>3.55</v>
      </c>
      <c r="G52" s="87">
        <f>F52*Recap_MaterialMU</f>
        <v>0.355</v>
      </c>
      <c r="H52" s="87">
        <f>(F52+G52)*Recap_FeeMU</f>
        <v>1.9525</v>
      </c>
      <c r="I52" s="87">
        <f>SUM(F52:H52)</f>
        <v>5.8575</v>
      </c>
    </row>
    <row r="53" spans="3:9" ht="12.75" outlineLevel="2">
      <c r="C53" s="70">
        <v>256</v>
      </c>
      <c r="D53" s="65" t="s">
        <v>280</v>
      </c>
      <c r="E53" s="65" t="s">
        <v>284</v>
      </c>
      <c r="F53" s="87">
        <v>107.52</v>
      </c>
      <c r="G53" s="87">
        <f>F53*Recap_MaterialMU</f>
        <v>10.752</v>
      </c>
      <c r="H53" s="87">
        <f>(F53+G53)*Recap_FeeMU</f>
        <v>59.135999999999996</v>
      </c>
      <c r="I53" s="87">
        <f>SUM(F53:H53)</f>
        <v>177.408</v>
      </c>
    </row>
    <row r="54" spans="3:9" ht="12.75" outlineLevel="2">
      <c r="C54" s="70">
        <v>70.33333333333334</v>
      </c>
      <c r="D54" s="65" t="s">
        <v>280</v>
      </c>
      <c r="E54" s="65" t="s">
        <v>285</v>
      </c>
      <c r="F54" s="87">
        <v>23.21</v>
      </c>
      <c r="G54" s="87">
        <f>F54*Recap_MaterialMU</f>
        <v>2.321</v>
      </c>
      <c r="H54" s="87">
        <f>(F54+G54)*Recap_FeeMU</f>
        <v>12.765500000000001</v>
      </c>
      <c r="I54" s="87">
        <f>SUM(F54:H54)</f>
        <v>38.2965</v>
      </c>
    </row>
    <row r="55" spans="2:11" ht="12.75" outlineLevel="1">
      <c r="B55" t="s">
        <v>279</v>
      </c>
      <c r="C55" s="45">
        <f>SUBTOTAL(9,C50:C54)</f>
        <v>810.3333333333334</v>
      </c>
      <c r="F55" s="85">
        <f>SUBTOTAL(9,F50:F54)</f>
        <v>183.84</v>
      </c>
      <c r="G55" s="85">
        <f>SUBTOTAL(9,G50:G54)</f>
        <v>18.384000000000004</v>
      </c>
      <c r="H55" s="85">
        <f>SUBTOTAL(9,H50:H54)</f>
        <v>101.112</v>
      </c>
      <c r="I55" s="85">
        <f>SUBTOTAL(9,I50:I54)</f>
        <v>303.33599999999996</v>
      </c>
      <c r="J55" s="53">
        <f>I55/MATERIAL1Total</f>
        <v>0.04098503583383497</v>
      </c>
      <c r="K55" s="117" t="str">
        <f>REPT("█",J55*100/4)</f>
        <v>█</v>
      </c>
    </row>
    <row r="56" spans="3:9" ht="12.75" outlineLevel="2">
      <c r="C56" s="70">
        <v>7</v>
      </c>
      <c r="D56" s="65" t="s">
        <v>280</v>
      </c>
      <c r="E56" s="65" t="s">
        <v>287</v>
      </c>
      <c r="F56" s="87">
        <v>4.2</v>
      </c>
      <c r="G56" s="87">
        <f>F56*Recap_MaterialMU</f>
        <v>0.42000000000000004</v>
      </c>
      <c r="H56" s="87">
        <f>(F56+G56)*Recap_FeeMU</f>
        <v>2.31</v>
      </c>
      <c r="I56" s="87">
        <f>SUM(F56:H56)</f>
        <v>6.93</v>
      </c>
    </row>
    <row r="57" spans="2:11" ht="12.75" outlineLevel="1">
      <c r="B57" t="s">
        <v>286</v>
      </c>
      <c r="C57" s="45">
        <f>SUBTOTAL(9,C56:C56)</f>
        <v>7</v>
      </c>
      <c r="F57" s="85">
        <f>SUBTOTAL(9,F56:F56)</f>
        <v>4.2</v>
      </c>
      <c r="G57" s="85">
        <f>SUBTOTAL(9,G56:G56)</f>
        <v>0.42000000000000004</v>
      </c>
      <c r="H57" s="85">
        <f>SUBTOTAL(9,H56:H56)</f>
        <v>2.31</v>
      </c>
      <c r="I57" s="85">
        <f>SUBTOTAL(9,I56:I56)</f>
        <v>6.93</v>
      </c>
      <c r="J57" s="53">
        <f>I57/MATERIAL1Total</f>
        <v>0.0009363422024701202</v>
      </c>
      <c r="K57" s="117">
        <f>REPT("█",J57*100/4)</f>
      </c>
    </row>
    <row r="58" spans="3:9" ht="12.75" outlineLevel="2">
      <c r="C58" s="70">
        <v>448</v>
      </c>
      <c r="D58" s="65" t="s">
        <v>291</v>
      </c>
      <c r="E58" s="65" t="s">
        <v>292</v>
      </c>
      <c r="F58" s="87">
        <v>4.48</v>
      </c>
      <c r="G58" s="87">
        <f>F58*Recap_MaterialMU</f>
        <v>0.44800000000000006</v>
      </c>
      <c r="H58" s="87">
        <f>(F58+G58)*Recap_FeeMU</f>
        <v>2.4640000000000004</v>
      </c>
      <c r="I58" s="87">
        <f>SUM(F58:H58)</f>
        <v>7.392000000000001</v>
      </c>
    </row>
    <row r="59" spans="2:11" ht="12.75" outlineLevel="1">
      <c r="B59" t="s">
        <v>290</v>
      </c>
      <c r="C59" s="45">
        <f>SUBTOTAL(9,C58:C58)</f>
        <v>448</v>
      </c>
      <c r="F59" s="85">
        <f>SUBTOTAL(9,F58:F58)</f>
        <v>4.48</v>
      </c>
      <c r="G59" s="85">
        <f>SUBTOTAL(9,G58:G58)</f>
        <v>0.44800000000000006</v>
      </c>
      <c r="H59" s="85">
        <f>SUBTOTAL(9,H58:H58)</f>
        <v>2.4640000000000004</v>
      </c>
      <c r="I59" s="85">
        <f>SUBTOTAL(9,I58:I58)</f>
        <v>7.392000000000001</v>
      </c>
      <c r="J59" s="53">
        <f>I59/MATERIAL1Total</f>
        <v>0.0009987650159681283</v>
      </c>
      <c r="K59" s="117">
        <f>REPT("█",J59*100/4)</f>
      </c>
    </row>
    <row r="60" spans="3:9" ht="12.75" outlineLevel="2">
      <c r="C60" s="70">
        <v>16</v>
      </c>
      <c r="D60" s="65" t="s">
        <v>291</v>
      </c>
      <c r="E60" s="65" t="s">
        <v>294</v>
      </c>
      <c r="F60" s="87">
        <v>36</v>
      </c>
      <c r="G60" s="87">
        <f>F60*Recap_MaterialMU</f>
        <v>3.6</v>
      </c>
      <c r="H60" s="87">
        <f>(F60+G60)*Recap_FeeMU</f>
        <v>19.8</v>
      </c>
      <c r="I60" s="87">
        <f>SUM(F60:H60)</f>
        <v>59.400000000000006</v>
      </c>
    </row>
    <row r="61" spans="3:9" ht="12.75" outlineLevel="2">
      <c r="C61" s="70">
        <v>16</v>
      </c>
      <c r="D61" s="65" t="s">
        <v>291</v>
      </c>
      <c r="E61" s="65" t="s">
        <v>295</v>
      </c>
      <c r="F61" s="87">
        <v>9.6</v>
      </c>
      <c r="G61" s="87">
        <f>F61*Recap_MaterialMU</f>
        <v>0.96</v>
      </c>
      <c r="H61" s="87">
        <f>(F61+G61)*Recap_FeeMU</f>
        <v>5.279999999999999</v>
      </c>
      <c r="I61" s="87">
        <f>SUM(F61:H61)</f>
        <v>15.839999999999998</v>
      </c>
    </row>
    <row r="62" spans="2:11" ht="12.75" outlineLevel="1">
      <c r="B62" t="s">
        <v>293</v>
      </c>
      <c r="C62" s="45">
        <f>SUBTOTAL(9,C60:C61)</f>
        <v>32</v>
      </c>
      <c r="F62" s="85">
        <f>SUBTOTAL(9,F60:F61)</f>
        <v>45.6</v>
      </c>
      <c r="G62" s="85">
        <f>SUBTOTAL(9,G60:G61)</f>
        <v>4.5600000000000005</v>
      </c>
      <c r="H62" s="85">
        <f>SUBTOTAL(9,H60:H61)</f>
        <v>25.08</v>
      </c>
      <c r="I62" s="85">
        <f>SUBTOTAL(9,I60:I61)</f>
        <v>75.24000000000001</v>
      </c>
      <c r="J62" s="53">
        <f>I62/MATERIAL1Total</f>
        <v>0.010166001055389878</v>
      </c>
      <c r="K62" s="117">
        <f>REPT("█",J62*100/4)</f>
      </c>
    </row>
    <row r="63" spans="3:9" ht="12.75" outlineLevel="2">
      <c r="C63" s="70">
        <v>32</v>
      </c>
      <c r="D63" s="65" t="s">
        <v>291</v>
      </c>
      <c r="E63" s="65" t="s">
        <v>297</v>
      </c>
      <c r="F63" s="87">
        <v>800</v>
      </c>
      <c r="G63" s="87">
        <f>F63*Recap_MaterialMU</f>
        <v>80</v>
      </c>
      <c r="H63" s="87">
        <f>(F63+G63)*Recap_FeeMU</f>
        <v>440</v>
      </c>
      <c r="I63" s="87">
        <f>SUM(F63:H63)</f>
        <v>1320</v>
      </c>
    </row>
    <row r="64" spans="2:11" ht="12.75" outlineLevel="1">
      <c r="B64" t="s">
        <v>296</v>
      </c>
      <c r="C64" s="45">
        <f>SUBTOTAL(9,C63:C63)</f>
        <v>32</v>
      </c>
      <c r="F64" s="85">
        <f>SUBTOTAL(9,F63:F63)</f>
        <v>800</v>
      </c>
      <c r="G64" s="85">
        <f>SUBTOTAL(9,G63:G63)</f>
        <v>80</v>
      </c>
      <c r="H64" s="85">
        <f>SUBTOTAL(9,H63:H63)</f>
        <v>440</v>
      </c>
      <c r="I64" s="85">
        <f>SUBTOTAL(9,I63:I63)</f>
        <v>1320</v>
      </c>
      <c r="J64" s="53">
        <f>I64/MATERIAL1Total</f>
        <v>0.17835089570859433</v>
      </c>
      <c r="K64" s="117" t="str">
        <f>REPT("█",J64*100/4)</f>
        <v>████</v>
      </c>
    </row>
    <row r="65" spans="3:9" ht="12.75" outlineLevel="2">
      <c r="C65" s="70">
        <v>2</v>
      </c>
      <c r="D65" s="65" t="s">
        <v>291</v>
      </c>
      <c r="E65" s="65" t="s">
        <v>299</v>
      </c>
      <c r="F65" s="87">
        <v>5</v>
      </c>
      <c r="G65" s="87">
        <f>F65*Recap_MaterialMU</f>
        <v>0.5</v>
      </c>
      <c r="H65" s="87">
        <f>(F65+G65)*Recap_FeeMU</f>
        <v>2.75</v>
      </c>
      <c r="I65" s="87">
        <f>SUM(F65:H65)</f>
        <v>8.25</v>
      </c>
    </row>
    <row r="66" spans="2:11" ht="12.75" outlineLevel="1">
      <c r="B66" t="s">
        <v>298</v>
      </c>
      <c r="C66" s="45">
        <f>SUBTOTAL(9,C65:C65)</f>
        <v>2</v>
      </c>
      <c r="F66" s="85">
        <f>SUBTOTAL(9,F65:F65)</f>
        <v>5</v>
      </c>
      <c r="G66" s="85">
        <f>SUBTOTAL(9,G65:G65)</f>
        <v>0.5</v>
      </c>
      <c r="H66" s="85">
        <f>SUBTOTAL(9,H65:H65)</f>
        <v>2.75</v>
      </c>
      <c r="I66" s="85">
        <f>SUBTOTAL(9,I65:I65)</f>
        <v>8.25</v>
      </c>
      <c r="J66" s="53">
        <f>I66/MATERIAL1Total</f>
        <v>0.0011146930981787144</v>
      </c>
      <c r="K66" s="117">
        <f>REPT("█",J66*100/4)</f>
      </c>
    </row>
    <row r="67" spans="3:9" ht="12.75" outlineLevel="2">
      <c r="C67" s="70">
        <v>42</v>
      </c>
      <c r="D67" s="65" t="s">
        <v>291</v>
      </c>
      <c r="E67" s="65" t="s">
        <v>301</v>
      </c>
      <c r="F67" s="87">
        <v>25.2</v>
      </c>
      <c r="G67" s="87">
        <f>F67*Recap_MaterialMU</f>
        <v>2.52</v>
      </c>
      <c r="H67" s="87">
        <f>(F67+G67)*Recap_FeeMU</f>
        <v>13.86</v>
      </c>
      <c r="I67" s="87">
        <f>SUM(F67:H67)</f>
        <v>41.58</v>
      </c>
    </row>
    <row r="68" spans="2:11" ht="12.75" outlineLevel="1">
      <c r="B68" t="s">
        <v>300</v>
      </c>
      <c r="C68" s="45">
        <f>SUBTOTAL(9,C67:C67)</f>
        <v>42</v>
      </c>
      <c r="F68" s="85">
        <f>SUBTOTAL(9,F67:F67)</f>
        <v>25.2</v>
      </c>
      <c r="G68" s="85">
        <f>SUBTOTAL(9,G67:G67)</f>
        <v>2.52</v>
      </c>
      <c r="H68" s="85">
        <f>SUBTOTAL(9,H67:H67)</f>
        <v>13.86</v>
      </c>
      <c r="I68" s="85">
        <f>SUBTOTAL(9,I67:I67)</f>
        <v>41.58</v>
      </c>
      <c r="J68" s="53">
        <f>I68/MATERIAL1Total</f>
        <v>0.005618053214820721</v>
      </c>
      <c r="K68" s="117">
        <f>REPT("█",J68*100/4)</f>
      </c>
    </row>
    <row r="69" spans="3:9" ht="12.75" outlineLevel="2">
      <c r="C69" s="70">
        <v>20</v>
      </c>
      <c r="D69" s="65" t="s">
        <v>291</v>
      </c>
      <c r="E69" s="65" t="s">
        <v>303</v>
      </c>
      <c r="F69" s="87">
        <v>0.6</v>
      </c>
      <c r="G69" s="87">
        <f>F69*Recap_MaterialMU</f>
        <v>0.06</v>
      </c>
      <c r="H69" s="87">
        <f>(F69+G69)*Recap_FeeMU</f>
        <v>0.32999999999999996</v>
      </c>
      <c r="I69" s="87">
        <f>SUM(F69:H69)</f>
        <v>0.9899999999999999</v>
      </c>
    </row>
    <row r="70" spans="2:11" ht="12.75" outlineLevel="1">
      <c r="B70" t="s">
        <v>302</v>
      </c>
      <c r="C70" s="45">
        <f>SUBTOTAL(9,C69:C69)</f>
        <v>20</v>
      </c>
      <c r="F70" s="85">
        <f>SUBTOTAL(9,F69:F69)</f>
        <v>0.6</v>
      </c>
      <c r="G70" s="85">
        <f>SUBTOTAL(9,G69:G69)</f>
        <v>0.06</v>
      </c>
      <c r="H70" s="85">
        <f>SUBTOTAL(9,H69:H69)</f>
        <v>0.32999999999999996</v>
      </c>
      <c r="I70" s="85">
        <f>SUBTOTAL(9,I69:I69)</f>
        <v>0.9899999999999999</v>
      </c>
      <c r="J70" s="53">
        <f>I70/MATERIAL1Total</f>
        <v>0.00013376317178144572</v>
      </c>
      <c r="K70" s="117">
        <f>REPT("█",J70*100/4)</f>
      </c>
    </row>
    <row r="71" spans="3:9" ht="12.75" outlineLevel="2">
      <c r="C71" s="70">
        <v>4</v>
      </c>
      <c r="D71" s="65" t="s">
        <v>291</v>
      </c>
      <c r="E71" s="65" t="s">
        <v>305</v>
      </c>
      <c r="F71" s="87">
        <v>32</v>
      </c>
      <c r="G71" s="87">
        <f>F71*Recap_MaterialMU</f>
        <v>3.2</v>
      </c>
      <c r="H71" s="87">
        <f>(F71+G71)*Recap_FeeMU</f>
        <v>17.6</v>
      </c>
      <c r="I71" s="87">
        <f>SUM(F71:H71)</f>
        <v>52.800000000000004</v>
      </c>
    </row>
    <row r="72" spans="3:9" ht="12.75" outlineLevel="2">
      <c r="C72" s="70">
        <v>34</v>
      </c>
      <c r="D72" s="65" t="s">
        <v>306</v>
      </c>
      <c r="E72" s="65" t="s">
        <v>307</v>
      </c>
      <c r="F72" s="87">
        <v>102</v>
      </c>
      <c r="G72" s="87">
        <f>F72*Recap_MaterialMU</f>
        <v>10.200000000000001</v>
      </c>
      <c r="H72" s="87">
        <f>(F72+G72)*Recap_FeeMU</f>
        <v>56.1</v>
      </c>
      <c r="I72" s="87">
        <f>SUM(F72:H72)</f>
        <v>168.3</v>
      </c>
    </row>
    <row r="73" spans="2:11" ht="12.75" outlineLevel="1">
      <c r="B73" t="s">
        <v>304</v>
      </c>
      <c r="C73" s="45">
        <f>SUBTOTAL(9,C71:C72)</f>
        <v>38</v>
      </c>
      <c r="F73" s="85">
        <f>SUBTOTAL(9,F71:F72)</f>
        <v>134</v>
      </c>
      <c r="G73" s="85">
        <f>SUBTOTAL(9,G71:G72)</f>
        <v>13.400000000000002</v>
      </c>
      <c r="H73" s="85">
        <f>SUBTOTAL(9,H71:H72)</f>
        <v>73.7</v>
      </c>
      <c r="I73" s="85">
        <f>SUBTOTAL(9,I71:I72)</f>
        <v>221.10000000000002</v>
      </c>
      <c r="J73" s="53">
        <f>I73/MATERIAL1Total</f>
        <v>0.029873775031189553</v>
      </c>
      <c r="K73" s="117">
        <f>REPT("█",J73*100/4)</f>
      </c>
    </row>
    <row r="74" spans="3:9" ht="12.75" outlineLevel="2">
      <c r="C74" s="70">
        <v>39</v>
      </c>
      <c r="D74" s="65" t="s">
        <v>280</v>
      </c>
      <c r="E74" s="65" t="s">
        <v>311</v>
      </c>
      <c r="F74" s="87">
        <v>126.75</v>
      </c>
      <c r="G74" s="87">
        <f>F74*Recap_MaterialMU</f>
        <v>12.675</v>
      </c>
      <c r="H74" s="87">
        <f>(F74+G74)*Recap_FeeMU</f>
        <v>69.7125</v>
      </c>
      <c r="I74" s="87">
        <f>SUM(F74:H74)</f>
        <v>209.13750000000002</v>
      </c>
    </row>
    <row r="75" spans="2:11" ht="12.75" outlineLevel="1">
      <c r="B75" t="s">
        <v>310</v>
      </c>
      <c r="C75" s="45">
        <f>SUBTOTAL(9,C74:C74)</f>
        <v>39</v>
      </c>
      <c r="F75" s="85">
        <f>SUBTOTAL(9,F74:F74)</f>
        <v>126.75</v>
      </c>
      <c r="G75" s="85">
        <f>SUBTOTAL(9,G74:G74)</f>
        <v>12.675</v>
      </c>
      <c r="H75" s="85">
        <f>SUBTOTAL(9,H74:H74)</f>
        <v>69.7125</v>
      </c>
      <c r="I75" s="85">
        <f>SUBTOTAL(9,I74:I74)</f>
        <v>209.13750000000002</v>
      </c>
      <c r="J75" s="53">
        <f>I75/MATERIAL1Total</f>
        <v>0.028257470038830414</v>
      </c>
      <c r="K75" s="117">
        <f>REPT("█",J75*100/4)</f>
      </c>
    </row>
    <row r="76" spans="3:9" ht="12.75" outlineLevel="2">
      <c r="C76" s="70">
        <v>39</v>
      </c>
      <c r="D76" s="65" t="s">
        <v>280</v>
      </c>
      <c r="E76" s="65" t="s">
        <v>315</v>
      </c>
      <c r="F76" s="87">
        <v>29.25</v>
      </c>
      <c r="G76" s="87">
        <f>F76*Recap_MaterialMU</f>
        <v>2.9250000000000003</v>
      </c>
      <c r="H76" s="87">
        <f>(F76+G76)*Recap_FeeMU</f>
        <v>16.0875</v>
      </c>
      <c r="I76" s="87">
        <f>SUM(F76:H76)</f>
        <v>48.262499999999996</v>
      </c>
    </row>
    <row r="77" spans="2:11" ht="12.75" outlineLevel="1">
      <c r="B77" t="s">
        <v>314</v>
      </c>
      <c r="C77" s="45">
        <f>SUBTOTAL(9,C76:C76)</f>
        <v>39</v>
      </c>
      <c r="F77" s="85">
        <f>SUBTOTAL(9,F76:F76)</f>
        <v>29.25</v>
      </c>
      <c r="G77" s="85">
        <f>SUBTOTAL(9,G76:G76)</f>
        <v>2.9250000000000003</v>
      </c>
      <c r="H77" s="85">
        <f>SUBTOTAL(9,H76:H76)</f>
        <v>16.0875</v>
      </c>
      <c r="I77" s="85">
        <f>SUBTOTAL(9,I76:I76)</f>
        <v>48.262499999999996</v>
      </c>
      <c r="J77" s="53">
        <f>I77/MATERIAL1Total</f>
        <v>0.00652095462434548</v>
      </c>
      <c r="K77" s="117">
        <f>REPT("█",J77*100/4)</f>
      </c>
    </row>
    <row r="78" spans="3:9" ht="12.75" outlineLevel="2">
      <c r="C78" s="70">
        <v>900</v>
      </c>
      <c r="D78" s="65" t="s">
        <v>280</v>
      </c>
      <c r="E78" s="65" t="s">
        <v>316</v>
      </c>
      <c r="F78" s="87">
        <v>1350</v>
      </c>
      <c r="G78" s="87">
        <f>F78*Recap_MaterialMU</f>
        <v>135</v>
      </c>
      <c r="H78" s="87">
        <f>(F78+G78)*Recap_FeeMU</f>
        <v>742.5</v>
      </c>
      <c r="I78" s="87">
        <f>SUM(F78:H78)</f>
        <v>2227.5</v>
      </c>
    </row>
    <row r="79" spans="2:11" ht="12.75" outlineLevel="1">
      <c r="B79" t="s">
        <v>214</v>
      </c>
      <c r="C79" s="45">
        <f>SUBTOTAL(9,C78:C78)</f>
        <v>900</v>
      </c>
      <c r="F79" s="85">
        <f>SUBTOTAL(9,F78:F78)</f>
        <v>1350</v>
      </c>
      <c r="G79" s="85">
        <f>SUBTOTAL(9,G78:G78)</f>
        <v>135</v>
      </c>
      <c r="H79" s="85">
        <f>SUBTOTAL(9,H78:H78)</f>
        <v>742.5</v>
      </c>
      <c r="I79" s="85">
        <f>SUBTOTAL(9,I78:I78)</f>
        <v>2227.5</v>
      </c>
      <c r="J79" s="53">
        <f>I79/MATERIAL1Total</f>
        <v>0.3009671365082529</v>
      </c>
      <c r="K79" s="117" t="str">
        <f>REPT("█",J79*100/4)</f>
        <v>███████</v>
      </c>
    </row>
    <row r="80" spans="3:9" ht="12.75" outlineLevel="2">
      <c r="C80" s="70">
        <v>28.583333333333336</v>
      </c>
      <c r="D80" s="65" t="s">
        <v>320</v>
      </c>
      <c r="E80" s="65" t="s">
        <v>321</v>
      </c>
      <c r="F80" s="87">
        <v>82.38725490196079</v>
      </c>
      <c r="G80" s="87">
        <f>F80*Recap_MaterialMU</f>
        <v>8.23872549019608</v>
      </c>
      <c r="H80" s="87">
        <f>(F80+G80)*Recap_FeeMU</f>
        <v>45.31299019607843</v>
      </c>
      <c r="I80" s="87">
        <f>SUM(F80:H80)</f>
        <v>135.9389705882353</v>
      </c>
    </row>
    <row r="81" spans="2:11" ht="12.75" outlineLevel="1">
      <c r="B81" t="s">
        <v>319</v>
      </c>
      <c r="C81" s="45">
        <f>SUBTOTAL(9,C80:C80)</f>
        <v>28.583333333333336</v>
      </c>
      <c r="F81" s="85">
        <f>SUBTOTAL(9,F80:F80)</f>
        <v>82.38725490196079</v>
      </c>
      <c r="G81" s="85">
        <f>SUBTOTAL(9,G80:G80)</f>
        <v>8.23872549019608</v>
      </c>
      <c r="H81" s="85">
        <f>SUBTOTAL(9,H80:H80)</f>
        <v>45.31299019607843</v>
      </c>
      <c r="I81" s="85">
        <f>SUBTOTAL(9,I80:I80)</f>
        <v>135.9389705882353</v>
      </c>
      <c r="J81" s="53">
        <f>I81/MATERIAL1Total</f>
        <v>0.01836730088342123</v>
      </c>
      <c r="K81" s="117">
        <f>REPT("█",J81*100/4)</f>
      </c>
    </row>
    <row r="82" spans="3:9" ht="12.75" outlineLevel="2">
      <c r="C82" s="70">
        <v>12</v>
      </c>
      <c r="D82" s="65" t="s">
        <v>320</v>
      </c>
      <c r="E82" s="65" t="s">
        <v>323</v>
      </c>
      <c r="F82" s="87">
        <v>16.235294117647058</v>
      </c>
      <c r="G82" s="87">
        <f>F82*Recap_MaterialMU</f>
        <v>1.6235294117647059</v>
      </c>
      <c r="H82" s="87">
        <f>(F82+G82)*Recap_FeeMU</f>
        <v>8.929411764705883</v>
      </c>
      <c r="I82" s="87">
        <f>SUM(F82:H82)</f>
        <v>26.788235294117648</v>
      </c>
    </row>
    <row r="83" spans="3:9" ht="12.75" outlineLevel="2">
      <c r="C83" s="70">
        <v>36.458333333333336</v>
      </c>
      <c r="D83" s="65" t="s">
        <v>320</v>
      </c>
      <c r="E83" s="65" t="s">
        <v>324</v>
      </c>
      <c r="F83" s="87">
        <v>42.06730769230769</v>
      </c>
      <c r="G83" s="87">
        <f>F83*Recap_MaterialMU</f>
        <v>4.206730769230769</v>
      </c>
      <c r="H83" s="87">
        <f>(F83+G83)*Recap_FeeMU</f>
        <v>23.13701923076923</v>
      </c>
      <c r="I83" s="87">
        <f>SUM(F83:H83)</f>
        <v>69.4110576923077</v>
      </c>
    </row>
    <row r="84" spans="3:9" ht="12.75" outlineLevel="2">
      <c r="C84" s="70">
        <v>95.22222222222223</v>
      </c>
      <c r="D84" s="65" t="s">
        <v>320</v>
      </c>
      <c r="E84" s="65" t="s">
        <v>325</v>
      </c>
      <c r="F84" s="87">
        <v>89.62091503267975</v>
      </c>
      <c r="G84" s="87">
        <f>F84*Recap_MaterialMU</f>
        <v>8.962091503267976</v>
      </c>
      <c r="H84" s="87">
        <f>(F84+G84)*Recap_FeeMU</f>
        <v>49.29150326797386</v>
      </c>
      <c r="I84" s="87">
        <f>SUM(F84:H84)</f>
        <v>147.87450980392157</v>
      </c>
    </row>
    <row r="85" spans="3:9" ht="12.75" outlineLevel="2">
      <c r="C85" s="70">
        <v>17</v>
      </c>
      <c r="D85" s="65" t="s">
        <v>320</v>
      </c>
      <c r="E85" s="65" t="s">
        <v>326</v>
      </c>
      <c r="F85" s="87">
        <v>19</v>
      </c>
      <c r="G85" s="87">
        <f>F85*Recap_MaterialMU</f>
        <v>1.9000000000000001</v>
      </c>
      <c r="H85" s="87">
        <f>(F85+G85)*Recap_FeeMU</f>
        <v>10.45</v>
      </c>
      <c r="I85" s="87">
        <f>SUM(F85:H85)</f>
        <v>31.349999999999998</v>
      </c>
    </row>
    <row r="86" spans="2:11" ht="12.75" outlineLevel="1">
      <c r="B86" t="s">
        <v>322</v>
      </c>
      <c r="C86" s="45">
        <f>SUBTOTAL(9,C82:C85)</f>
        <v>160.68055555555557</v>
      </c>
      <c r="F86" s="85">
        <f>SUBTOTAL(9,F82:F85)</f>
        <v>166.9235168426345</v>
      </c>
      <c r="G86" s="85">
        <f>SUBTOTAL(9,G82:G85)</f>
        <v>16.69235168426345</v>
      </c>
      <c r="H86" s="85">
        <f>SUBTOTAL(9,H82:H85)</f>
        <v>91.80793426344898</v>
      </c>
      <c r="I86" s="85">
        <f>SUBTOTAL(9,I82:I85)</f>
        <v>275.42380279034694</v>
      </c>
      <c r="J86" s="53">
        <f>I86/MATERIAL1Total</f>
        <v>0.03721369842964062</v>
      </c>
      <c r="K86" s="117">
        <f>REPT("█",J86*100/4)</f>
      </c>
    </row>
    <row r="87" spans="3:9" ht="12.75" outlineLevel="2">
      <c r="C87" s="70">
        <v>75.36111111111111</v>
      </c>
      <c r="D87" s="65" t="s">
        <v>320</v>
      </c>
      <c r="E87" s="65" t="s">
        <v>328</v>
      </c>
      <c r="F87" s="87">
        <v>23.55034722222222</v>
      </c>
      <c r="G87" s="87">
        <f>F87*Recap_MaterialMU</f>
        <v>2.3550347222222223</v>
      </c>
      <c r="H87" s="87">
        <f>(F87+G87)*Recap_FeeMU</f>
        <v>12.952690972222221</v>
      </c>
      <c r="I87" s="87">
        <f>SUM(F87:H87)</f>
        <v>38.858072916666664</v>
      </c>
    </row>
    <row r="88" spans="3:9" ht="12.75" outlineLevel="2">
      <c r="C88" s="70">
        <v>128.09027777777777</v>
      </c>
      <c r="D88" s="65" t="s">
        <v>320</v>
      </c>
      <c r="E88" s="65" t="s">
        <v>329</v>
      </c>
      <c r="F88" s="87">
        <v>184.12977430555551</v>
      </c>
      <c r="G88" s="87">
        <f>F88*Recap_MaterialMU</f>
        <v>18.412977430555554</v>
      </c>
      <c r="H88" s="87">
        <f>(F88+G88)*Recap_FeeMU</f>
        <v>101.27137586805553</v>
      </c>
      <c r="I88" s="87">
        <f>SUM(F88:H88)</f>
        <v>303.8141276041666</v>
      </c>
    </row>
    <row r="89" spans="3:9" ht="12.75" outlineLevel="2">
      <c r="C89" s="70">
        <v>35</v>
      </c>
      <c r="D89" s="65" t="s">
        <v>320</v>
      </c>
      <c r="E89" s="65" t="s">
        <v>330</v>
      </c>
      <c r="F89" s="87">
        <v>28.4375</v>
      </c>
      <c r="G89" s="87">
        <f>F89*Recap_MaterialMU</f>
        <v>2.84375</v>
      </c>
      <c r="H89" s="87">
        <f>(F89+G89)*Recap_FeeMU</f>
        <v>15.640625</v>
      </c>
      <c r="I89" s="87">
        <f>SUM(F89:H89)</f>
        <v>46.921875</v>
      </c>
    </row>
    <row r="90" spans="2:11" ht="12.75" outlineLevel="1">
      <c r="B90" t="s">
        <v>327</v>
      </c>
      <c r="C90" s="45">
        <f>SUBTOTAL(9,C87:C89)</f>
        <v>238.45138888888889</v>
      </c>
      <c r="F90" s="85">
        <f>SUBTOTAL(9,F87:F89)</f>
        <v>236.11762152777774</v>
      </c>
      <c r="G90" s="85">
        <f>SUBTOTAL(9,G87:G89)</f>
        <v>23.611762152777775</v>
      </c>
      <c r="H90" s="85">
        <f>SUBTOTAL(9,H87:H89)</f>
        <v>129.86469184027774</v>
      </c>
      <c r="I90" s="85">
        <f>SUBTOTAL(9,I87:I89)</f>
        <v>389.59407552083326</v>
      </c>
      <c r="J90" s="53">
        <f>I90/MATERIAL1Total</f>
        <v>0.05263973661507754</v>
      </c>
      <c r="K90" s="117" t="str">
        <f>REPT("█",J90*100/4)</f>
        <v>█</v>
      </c>
    </row>
    <row r="91" spans="3:9" ht="12.75" outlineLevel="2">
      <c r="C91" s="70">
        <v>169.5</v>
      </c>
      <c r="D91" s="65" t="s">
        <v>320</v>
      </c>
      <c r="E91" s="65" t="s">
        <v>332</v>
      </c>
      <c r="F91" s="87">
        <v>309.0882352941176</v>
      </c>
      <c r="G91" s="87">
        <f>F91*Recap_MaterialMU</f>
        <v>30.908823529411762</v>
      </c>
      <c r="H91" s="87">
        <f>(F91+G91)*Recap_FeeMU</f>
        <v>169.9985294117647</v>
      </c>
      <c r="I91" s="87">
        <f>SUM(F91:H91)</f>
        <v>509.9955882352941</v>
      </c>
    </row>
    <row r="92" spans="3:9" ht="12.75" outlineLevel="2">
      <c r="C92" s="70">
        <v>169</v>
      </c>
      <c r="D92" s="65" t="s">
        <v>320</v>
      </c>
      <c r="E92" s="65" t="s">
        <v>333</v>
      </c>
      <c r="F92" s="87">
        <v>278.3529411764706</v>
      </c>
      <c r="G92" s="87">
        <f>F92*Recap_MaterialMU</f>
        <v>27.835294117647063</v>
      </c>
      <c r="H92" s="87">
        <f>(F92+G92)*Recap_FeeMU</f>
        <v>153.09411764705882</v>
      </c>
      <c r="I92" s="87">
        <f>SUM(F92:H92)</f>
        <v>459.28235294117644</v>
      </c>
    </row>
    <row r="93" spans="3:9" ht="12.75" outlineLevel="2">
      <c r="C93" s="70">
        <v>219.33333333333337</v>
      </c>
      <c r="D93" s="65" t="s">
        <v>320</v>
      </c>
      <c r="E93" s="65" t="s">
        <v>334</v>
      </c>
      <c r="F93" s="87">
        <v>399.9607843137255</v>
      </c>
      <c r="G93" s="87">
        <f>F93*Recap_MaterialMU</f>
        <v>39.99607843137255</v>
      </c>
      <c r="H93" s="87">
        <f>(F93+G93)*Recap_FeeMU</f>
        <v>219.97843137254904</v>
      </c>
      <c r="I93" s="87">
        <f>SUM(F93:H93)</f>
        <v>659.9352941176471</v>
      </c>
    </row>
    <row r="94" spans="3:9" ht="12.75" outlineLevel="2">
      <c r="C94" s="70">
        <v>85</v>
      </c>
      <c r="D94" s="65" t="s">
        <v>320</v>
      </c>
      <c r="E94" s="65" t="s">
        <v>335</v>
      </c>
      <c r="F94" s="87">
        <v>175</v>
      </c>
      <c r="G94" s="87">
        <f>F94*Recap_MaterialMU</f>
        <v>17.5</v>
      </c>
      <c r="H94" s="87">
        <f>(F94+G94)*Recap_FeeMU</f>
        <v>96.25</v>
      </c>
      <c r="I94" s="87">
        <f>SUM(F94:H94)</f>
        <v>288.75</v>
      </c>
    </row>
    <row r="95" spans="3:9" ht="12.75" outlineLevel="2">
      <c r="C95" s="70">
        <v>168.41666666666666</v>
      </c>
      <c r="D95" s="65" t="s">
        <v>320</v>
      </c>
      <c r="E95" s="65" t="s">
        <v>336</v>
      </c>
      <c r="F95" s="87">
        <v>128.78921568627453</v>
      </c>
      <c r="G95" s="87">
        <f>F95*Recap_MaterialMU</f>
        <v>12.878921568627455</v>
      </c>
      <c r="H95" s="87">
        <f>(F95+G95)*Recap_FeeMU</f>
        <v>70.83406862745099</v>
      </c>
      <c r="I95" s="87">
        <f>SUM(F95:H95)</f>
        <v>212.50220588235297</v>
      </c>
    </row>
    <row r="96" spans="2:11" ht="13.5" outlineLevel="1" thickBot="1">
      <c r="B96" t="s">
        <v>331</v>
      </c>
      <c r="C96" s="45">
        <f>SUBTOTAL(9,C91:C95)</f>
        <v>811.25</v>
      </c>
      <c r="F96" s="85">
        <f>SUBTOTAL(9,F91:F95)</f>
        <v>1291.1911764705883</v>
      </c>
      <c r="G96" s="85">
        <f>SUBTOTAL(9,G91:G95)</f>
        <v>129.11911764705883</v>
      </c>
      <c r="H96" s="85">
        <f>SUBTOTAL(9,H91:H95)</f>
        <v>710.1551470588236</v>
      </c>
      <c r="I96" s="85">
        <f>SUBTOTAL(9,I91:I95)</f>
        <v>2130.4654411764704</v>
      </c>
      <c r="J96" s="53">
        <f>I96/MATERIAL1Total</f>
        <v>0.28785637856820384</v>
      </c>
      <c r="K96" s="117" t="str">
        <f>REPT("█",J96*100/4)</f>
        <v>███████</v>
      </c>
    </row>
    <row r="97" spans="3:9" ht="13.5" thickTop="1">
      <c r="C97" s="83">
        <f>SUBTOTAL(9,C50:C95)</f>
        <v>3648.2986111111118</v>
      </c>
      <c r="D97" s="81"/>
      <c r="E97" s="81" t="s">
        <v>438</v>
      </c>
      <c r="F97" s="89">
        <f>SUBTOTAL(9,F50:F95)</f>
        <v>4485.539569742961</v>
      </c>
      <c r="G97" s="89">
        <f>SUBTOTAL(9,G50:G95)</f>
        <v>448.5539569742961</v>
      </c>
      <c r="H97" s="89">
        <f>SUBTOTAL(9,H50:H95)</f>
        <v>2467.0467633586286</v>
      </c>
      <c r="I97" s="89">
        <f>SUBTOTAL(9,I50:I95)</f>
        <v>7401.140290075887</v>
      </c>
    </row>
    <row r="98" spans="3:9" ht="12.75">
      <c r="C98" s="45"/>
      <c r="F98" s="85"/>
      <c r="G98" s="85"/>
      <c r="H98" s="85"/>
      <c r="I98" s="85"/>
    </row>
    <row r="99" spans="1:9" ht="15.75">
      <c r="A99" s="63" t="s">
        <v>439</v>
      </c>
      <c r="C99" s="45"/>
      <c r="F99" s="85"/>
      <c r="G99" s="85"/>
      <c r="H99" s="85"/>
      <c r="I99" s="85"/>
    </row>
    <row r="100" spans="3:9" ht="12.75" outlineLevel="1">
      <c r="C100" s="69" t="s">
        <v>273</v>
      </c>
      <c r="D100" s="64" t="s">
        <v>274</v>
      </c>
      <c r="E100" s="64" t="s">
        <v>275</v>
      </c>
      <c r="F100" s="86" t="s">
        <v>276</v>
      </c>
      <c r="G100" s="86" t="s">
        <v>14</v>
      </c>
      <c r="H100" s="86" t="s">
        <v>12</v>
      </c>
      <c r="I100" s="86" t="s">
        <v>433</v>
      </c>
    </row>
    <row r="101" spans="3:9" ht="12.75" outlineLevel="2">
      <c r="C101" s="70">
        <v>4</v>
      </c>
      <c r="D101" s="65" t="s">
        <v>291</v>
      </c>
      <c r="E101" s="65" t="s">
        <v>340</v>
      </c>
      <c r="F101" s="87">
        <v>1000</v>
      </c>
      <c r="G101" s="87">
        <f>F101*Recap_MaterialMU2</f>
        <v>200</v>
      </c>
      <c r="H101" s="87">
        <f>(F101+G101)*Recap_FeeMU</f>
        <v>600</v>
      </c>
      <c r="I101" s="87">
        <f>SUM(F101:H101)</f>
        <v>1800</v>
      </c>
    </row>
    <row r="102" spans="2:11" ht="13.5" outlineLevel="1" thickBot="1">
      <c r="B102" t="s">
        <v>339</v>
      </c>
      <c r="C102" s="45">
        <f>SUBTOTAL(9,C101:C101)</f>
        <v>4</v>
      </c>
      <c r="F102" s="85">
        <f>SUBTOTAL(9,F101:F101)</f>
        <v>1000</v>
      </c>
      <c r="G102" s="85">
        <f>SUBTOTAL(9,G101:G101)</f>
        <v>200</v>
      </c>
      <c r="H102" s="85">
        <f>SUBTOTAL(9,H101:H101)</f>
        <v>600</v>
      </c>
      <c r="I102" s="85">
        <f>SUBTOTAL(9,I101:I101)</f>
        <v>1800</v>
      </c>
      <c r="J102" s="53">
        <f>I102/MATERIAL2Total</f>
        <v>1</v>
      </c>
      <c r="K102" s="117" t="str">
        <f>REPT("█",J102*100/4)</f>
        <v>█████████████████████████</v>
      </c>
    </row>
    <row r="103" spans="3:9" ht="13.5" thickTop="1">
      <c r="C103" s="83">
        <f>SUBTOTAL(9,C101:C101)</f>
        <v>4</v>
      </c>
      <c r="D103" s="81"/>
      <c r="E103" s="81" t="s">
        <v>440</v>
      </c>
      <c r="F103" s="89">
        <f>SUBTOTAL(9,F101:F101)</f>
        <v>1000</v>
      </c>
      <c r="G103" s="89">
        <f>SUBTOTAL(9,G101:G101)</f>
        <v>200</v>
      </c>
      <c r="H103" s="89">
        <f>SUBTOTAL(9,H101:H101)</f>
        <v>600</v>
      </c>
      <c r="I103" s="89">
        <f>SUBTOTAL(9,I101:I101)</f>
        <v>1800</v>
      </c>
    </row>
    <row r="104" spans="3:9" ht="12.75">
      <c r="C104" s="45"/>
      <c r="F104" s="85"/>
      <c r="G104" s="85"/>
      <c r="H104" s="85"/>
      <c r="I104" s="85"/>
    </row>
    <row r="105" spans="1:9" ht="15.75">
      <c r="A105" s="63" t="s">
        <v>10</v>
      </c>
      <c r="C105" s="45"/>
      <c r="F105" s="85"/>
      <c r="G105" s="85"/>
      <c r="H105" s="85"/>
      <c r="I105" s="85"/>
    </row>
    <row r="106" spans="3:9" ht="12.75">
      <c r="C106" s="45"/>
      <c r="E106" t="s">
        <v>261</v>
      </c>
      <c r="F106" s="85">
        <v>450</v>
      </c>
      <c r="G106" s="85">
        <f>F106*Recap_SubContractsMU</f>
        <v>270</v>
      </c>
      <c r="H106" s="85"/>
      <c r="I106" s="85">
        <f>F106+G106</f>
        <v>720</v>
      </c>
    </row>
    <row r="107" spans="3:9" ht="12.75">
      <c r="C107" s="45"/>
      <c r="F107" s="111">
        <f>SUBTOTAL(9,F105:F106)</f>
        <v>450</v>
      </c>
      <c r="G107" s="111">
        <f>SUBTOTAL(9,G105:G106)</f>
        <v>270</v>
      </c>
      <c r="H107" s="111"/>
      <c r="I107" s="111">
        <f>SUBTOTAL(9,I105:I106)</f>
        <v>720</v>
      </c>
    </row>
    <row r="108" spans="3:9" ht="12.75">
      <c r="C108" s="45"/>
      <c r="F108" s="85"/>
      <c r="G108" s="85"/>
      <c r="H108" s="85"/>
      <c r="I108" s="85"/>
    </row>
    <row r="109" spans="1:9" ht="15.75">
      <c r="A109" s="63" t="s">
        <v>7</v>
      </c>
      <c r="C109" s="45"/>
      <c r="F109" s="85"/>
      <c r="G109" s="85"/>
      <c r="H109" s="85"/>
      <c r="I109" s="85"/>
    </row>
    <row r="110" spans="3:9" ht="12.75">
      <c r="C110" s="45"/>
      <c r="E110" t="s">
        <v>264</v>
      </c>
      <c r="F110" s="85">
        <v>750</v>
      </c>
      <c r="G110" s="85"/>
      <c r="H110" s="85"/>
      <c r="I110" s="85">
        <f>F110+G110</f>
        <v>750</v>
      </c>
    </row>
    <row r="111" spans="3:9" ht="12.75">
      <c r="C111" s="45"/>
      <c r="F111" s="111"/>
      <c r="G111" s="111"/>
      <c r="H111" s="111"/>
      <c r="I111" s="111">
        <f>SUBTOTAL(9,I109:I110)</f>
        <v>750</v>
      </c>
    </row>
    <row r="112" spans="3:9" ht="12.75">
      <c r="C112" s="45"/>
      <c r="F112" s="85"/>
      <c r="G112" s="85"/>
      <c r="H112" s="85"/>
      <c r="I112" s="85"/>
    </row>
    <row r="113" spans="1:9" ht="15.75">
      <c r="A113" s="63" t="s">
        <v>110</v>
      </c>
      <c r="C113" s="45"/>
      <c r="F113" s="85"/>
      <c r="G113" s="85"/>
      <c r="H113" s="85"/>
      <c r="I113" s="85"/>
    </row>
    <row r="114" spans="3:9" ht="12.75">
      <c r="C114" s="45"/>
      <c r="F114" s="111"/>
      <c r="G114" s="111"/>
      <c r="H114" s="111"/>
      <c r="I114" s="111">
        <f>SUBTOTAL(9,I113:I113)</f>
        <v>0</v>
      </c>
    </row>
    <row r="115" spans="3:9" ht="12.75">
      <c r="C115" s="45"/>
      <c r="F115" s="85"/>
      <c r="G115" s="85"/>
      <c r="H115" s="85"/>
      <c r="I115" s="85"/>
    </row>
    <row r="116" spans="3:9" ht="15.75">
      <c r="C116" s="45"/>
      <c r="E116" s="100" t="s">
        <v>413</v>
      </c>
      <c r="F116" s="108">
        <f>SUBTOTAL(9,F9:F115)</f>
        <v>12238.588203215184</v>
      </c>
      <c r="G116" s="108">
        <f>SUBTOTAL(9,G9:G115)</f>
        <v>3009.5018870159624</v>
      </c>
      <c r="H116" s="108">
        <f>SUBTOTAL(9,H9:H115)</f>
        <v>6889.045045115574</v>
      </c>
      <c r="I116" s="109">
        <f>SUBTOTAL(9,I9:I115)</f>
        <v>22137.13513534672</v>
      </c>
    </row>
    <row r="117" spans="3:9" ht="12.75">
      <c r="C117" s="45"/>
      <c r="F117" s="85"/>
      <c r="G117" s="85"/>
      <c r="H117" s="85"/>
      <c r="I117" s="85"/>
    </row>
    <row r="118" spans="3:9" ht="12.75">
      <c r="C118" s="45"/>
      <c r="F118" s="85"/>
      <c r="G118" s="85"/>
      <c r="H118" s="85"/>
      <c r="I118" s="85"/>
    </row>
    <row r="119" spans="3:9" ht="12.75">
      <c r="C119" s="45"/>
      <c r="F119" s="85"/>
      <c r="G119" s="85"/>
      <c r="H119" s="85"/>
      <c r="I119" s="85"/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1"/>
  <headerFooter alignWithMargins="0">
    <oddHeader>&amp;LStarlight Jewellers&amp;CTakeoff recap summary&amp;R&amp;P/&amp;N</oddHeader>
    <oddFooter>&amp;LCompany&amp;RWednesday, November 5,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7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  <col min="2" max="2" width="24.7109375" style="0" bestFit="1" customWidth="1"/>
    <col min="3" max="3" width="24.28125" style="0" bestFit="1" customWidth="1"/>
  </cols>
  <sheetData>
    <row r="1" spans="1:3" ht="12.75">
      <c r="A1" s="31" t="s">
        <v>108</v>
      </c>
      <c r="C1" s="31" t="s">
        <v>188</v>
      </c>
    </row>
    <row r="2" spans="1:3" ht="12.75">
      <c r="A2" s="32" t="s">
        <v>441</v>
      </c>
      <c r="B2" s="33">
        <v>0.1</v>
      </c>
      <c r="C2" s="53">
        <f>B8</f>
        <v>0</v>
      </c>
    </row>
    <row r="3" spans="1:3" ht="12.75">
      <c r="A3" s="32" t="s">
        <v>15</v>
      </c>
      <c r="B3" s="33">
        <v>0.2</v>
      </c>
      <c r="C3" s="53">
        <f>B8</f>
        <v>0</v>
      </c>
    </row>
    <row r="4" spans="1:3" ht="12.75">
      <c r="A4" s="32" t="s">
        <v>442</v>
      </c>
      <c r="B4" s="33">
        <v>0.3</v>
      </c>
      <c r="C4" s="53">
        <f>B8</f>
        <v>0</v>
      </c>
    </row>
    <row r="5" spans="1:3" ht="12.75">
      <c r="A5" s="32" t="s">
        <v>11</v>
      </c>
      <c r="B5" s="33">
        <v>0.4</v>
      </c>
      <c r="C5" s="53">
        <f>B8</f>
        <v>0</v>
      </c>
    </row>
    <row r="6" spans="1:3" ht="12.75">
      <c r="A6" s="32" t="s">
        <v>12</v>
      </c>
      <c r="B6" s="33">
        <v>0.5</v>
      </c>
      <c r="C6" s="53">
        <f>B8</f>
        <v>0</v>
      </c>
    </row>
    <row r="7" spans="1:3" ht="12.75">
      <c r="A7" s="32" t="s">
        <v>109</v>
      </c>
      <c r="B7" s="33">
        <v>0.6</v>
      </c>
      <c r="C7" s="53">
        <f>B8</f>
        <v>0</v>
      </c>
    </row>
    <row r="8" spans="1:2" ht="12.75">
      <c r="A8" s="32" t="s">
        <v>3</v>
      </c>
      <c r="B8" s="33">
        <v>0</v>
      </c>
    </row>
    <row r="10" ht="12.75">
      <c r="A10" s="31" t="s">
        <v>8</v>
      </c>
    </row>
    <row r="11" spans="1:2" ht="12.75">
      <c r="A11" s="34" t="s">
        <v>443</v>
      </c>
      <c r="B11" s="35">
        <v>4485.53956974296</v>
      </c>
    </row>
    <row r="12" spans="1:2" ht="12.75">
      <c r="A12" s="34" t="s">
        <v>19</v>
      </c>
      <c r="B12" s="35">
        <v>1000</v>
      </c>
    </row>
    <row r="13" spans="1:2" ht="12.75">
      <c r="A13" s="34" t="s">
        <v>444</v>
      </c>
      <c r="B13" s="35">
        <v>1302.71523347222</v>
      </c>
    </row>
    <row r="14" spans="1:2" ht="12.75">
      <c r="A14" s="34" t="s">
        <v>20</v>
      </c>
      <c r="B14" s="35">
        <v>4250.3334</v>
      </c>
    </row>
    <row r="15" spans="1:2" ht="12.75">
      <c r="A15" s="34" t="s">
        <v>445</v>
      </c>
      <c r="B15" s="42">
        <v>65.1357616736111</v>
      </c>
    </row>
    <row r="16" spans="1:2" ht="12.75">
      <c r="A16" s="34" t="s">
        <v>446</v>
      </c>
      <c r="B16" s="42">
        <v>106.258333333333</v>
      </c>
    </row>
    <row r="17" spans="1:2" ht="12.75">
      <c r="A17" s="34" t="s">
        <v>13</v>
      </c>
      <c r="B17" s="35">
        <v>450</v>
      </c>
    </row>
    <row r="18" spans="1:3" ht="12.75">
      <c r="A18" s="34" t="s">
        <v>7</v>
      </c>
      <c r="B18" s="35">
        <v>750</v>
      </c>
      <c r="C18" s="53">
        <f>B8</f>
        <v>0</v>
      </c>
    </row>
    <row r="19" spans="1:3" ht="12.75">
      <c r="A19" s="34" t="s">
        <v>110</v>
      </c>
      <c r="B19" s="35">
        <v>0</v>
      </c>
      <c r="C19" s="53">
        <f>B8</f>
        <v>0</v>
      </c>
    </row>
    <row r="20" spans="1:2" ht="12.75">
      <c r="A20" s="34" t="s">
        <v>447</v>
      </c>
      <c r="B20" s="42">
        <v>1</v>
      </c>
    </row>
    <row r="22" ht="12.75">
      <c r="A22" s="31" t="s">
        <v>111</v>
      </c>
    </row>
    <row r="23" spans="1:2" ht="12.75">
      <c r="A23" s="34" t="str">
        <f>Label_MaterialCost1</f>
        <v>Material Mfg</v>
      </c>
      <c r="B23" s="35">
        <f>Total_MaterialCost*(1+Total_MaterialMU)*(1+Total_FeeMU)</f>
        <v>7401.140290075886</v>
      </c>
    </row>
    <row r="24" spans="1:2" ht="12.75">
      <c r="A24" s="34" t="str">
        <f>Label_MaterialCost2</f>
        <v>Material Buyout</v>
      </c>
      <c r="B24" s="35">
        <f>Total_MaterialCost2*(1+Total_MaterialMU2)*(1+Total_FeeMU)</f>
        <v>1800</v>
      </c>
    </row>
    <row r="25" spans="1:2" ht="12.75">
      <c r="A25" s="34" t="str">
        <f>Label_LaborCost1</f>
        <v>Labor Mfg</v>
      </c>
      <c r="B25" s="35">
        <f>Total_LaborCost*(1+Total_LaborMU)*(1+Total_FeeMU)</f>
        <v>2540.294705270829</v>
      </c>
    </row>
    <row r="26" spans="1:2" ht="12.75">
      <c r="A26" s="34" t="str">
        <f>Label_LaborCost2</f>
        <v>Labor Site</v>
      </c>
      <c r="B26" s="35">
        <f>Total_LaborCost2*(1+Total_LaborMU2)*(1+Total_FeeMU)</f>
        <v>8925.70014</v>
      </c>
    </row>
    <row r="27" spans="1:2" ht="12.75">
      <c r="A27" s="34" t="s">
        <v>112</v>
      </c>
      <c r="B27" s="35">
        <f>Total_MaterialSell+Total_MaterialSell2+Total_LaborSell+Total_LaborSell2</f>
        <v>20667.135135346718</v>
      </c>
    </row>
    <row r="29" ht="12.75">
      <c r="A29" s="31" t="s">
        <v>6</v>
      </c>
    </row>
    <row r="30" spans="1:2" ht="12.75">
      <c r="A30" s="46" t="s">
        <v>113</v>
      </c>
      <c r="B30" s="46" t="s">
        <v>16</v>
      </c>
    </row>
    <row r="31" spans="1:2" ht="12.75">
      <c r="A31" s="46" t="s">
        <v>114</v>
      </c>
      <c r="B31" s="46" t="s">
        <v>115</v>
      </c>
    </row>
    <row r="32" spans="1:2" ht="12.75">
      <c r="A32" s="46" t="s">
        <v>17</v>
      </c>
      <c r="B32" s="46" t="s">
        <v>18</v>
      </c>
    </row>
    <row r="33" spans="1:2" ht="12.75">
      <c r="A33" s="46" t="s">
        <v>116</v>
      </c>
      <c r="B33" s="50">
        <v>1</v>
      </c>
    </row>
    <row r="34" spans="1:2" ht="12.75">
      <c r="A34" s="46" t="s">
        <v>21</v>
      </c>
      <c r="B34" s="46" t="s">
        <v>14</v>
      </c>
    </row>
    <row r="35" spans="1:2" ht="12.75">
      <c r="A35" s="46" t="s">
        <v>117</v>
      </c>
      <c r="B35" s="46" t="s">
        <v>12</v>
      </c>
    </row>
    <row r="36" spans="1:2" ht="12.75">
      <c r="A36" s="46" t="s">
        <v>118</v>
      </c>
      <c r="B36" s="46" t="s">
        <v>119</v>
      </c>
    </row>
    <row r="37" spans="1:2" ht="12.75">
      <c r="A37" s="46" t="s">
        <v>120</v>
      </c>
      <c r="B37" s="46"/>
    </row>
    <row r="38" spans="1:2" ht="12.75">
      <c r="A38" s="46" t="s">
        <v>121</v>
      </c>
      <c r="B38" s="46"/>
    </row>
    <row r="39" spans="1:2" ht="12.75">
      <c r="A39" s="46" t="s">
        <v>122</v>
      </c>
      <c r="B39" s="46"/>
    </row>
    <row r="40" spans="1:2" ht="12.75">
      <c r="A40" s="46" t="s">
        <v>123</v>
      </c>
      <c r="B40" s="46" t="s">
        <v>448</v>
      </c>
    </row>
    <row r="41" spans="1:2" ht="12.75">
      <c r="A41" s="46" t="s">
        <v>124</v>
      </c>
      <c r="B41" s="46" t="s">
        <v>120</v>
      </c>
    </row>
    <row r="42" spans="1:2" ht="12.75">
      <c r="A42" s="46" t="s">
        <v>125</v>
      </c>
      <c r="B42" s="46" t="s">
        <v>121</v>
      </c>
    </row>
    <row r="43" spans="1:2" ht="12.75">
      <c r="A43" s="46" t="s">
        <v>126</v>
      </c>
      <c r="B43" s="46" t="s">
        <v>449</v>
      </c>
    </row>
    <row r="44" spans="1:2" ht="12.75">
      <c r="A44" s="46" t="s">
        <v>127</v>
      </c>
      <c r="B44" s="46" t="s">
        <v>450</v>
      </c>
    </row>
    <row r="45" spans="1:2" ht="12.75">
      <c r="A45" s="46" t="s">
        <v>451</v>
      </c>
      <c r="B45" s="47">
        <v>0</v>
      </c>
    </row>
    <row r="47" ht="12.75">
      <c r="A47" s="31" t="s">
        <v>452</v>
      </c>
    </row>
    <row r="48" spans="1:2" ht="12.75">
      <c r="A48" s="46" t="s">
        <v>128</v>
      </c>
      <c r="B48" s="46" t="s">
        <v>129</v>
      </c>
    </row>
    <row r="49" spans="1:2" ht="12.75">
      <c r="A49" s="46" t="s">
        <v>130</v>
      </c>
      <c r="B49" s="47">
        <v>2393.64739347662</v>
      </c>
    </row>
    <row r="50" spans="1:2" ht="12.75">
      <c r="A50" s="46" t="s">
        <v>131</v>
      </c>
      <c r="B50" s="47">
        <v>0</v>
      </c>
    </row>
    <row r="51" spans="1:2" ht="12.75">
      <c r="A51" s="46" t="s">
        <v>132</v>
      </c>
      <c r="B51" s="47">
        <v>1006.32033583333</v>
      </c>
    </row>
    <row r="52" spans="1:2" ht="12.75">
      <c r="A52" s="46" t="s">
        <v>133</v>
      </c>
      <c r="B52" s="47">
        <v>389.6667</v>
      </c>
    </row>
    <row r="53" spans="1:2" ht="12.75">
      <c r="A53" s="46" t="s">
        <v>134</v>
      </c>
      <c r="B53" s="48">
        <v>50.3160167916667</v>
      </c>
    </row>
    <row r="54" spans="1:2" ht="12.75">
      <c r="A54" s="46" t="s">
        <v>135</v>
      </c>
      <c r="B54" s="48">
        <v>9.74166666666667</v>
      </c>
    </row>
    <row r="55" spans="1:2" ht="12.75">
      <c r="A55" s="46" t="s">
        <v>136</v>
      </c>
      <c r="B55" s="48">
        <v>450</v>
      </c>
    </row>
    <row r="56" spans="1:2" ht="12.75">
      <c r="A56" s="46" t="s">
        <v>22</v>
      </c>
      <c r="B56" s="46" t="s">
        <v>137</v>
      </c>
    </row>
    <row r="57" spans="1:2" ht="12.75">
      <c r="A57" s="46" t="s">
        <v>23</v>
      </c>
      <c r="B57" s="47">
        <v>1506</v>
      </c>
    </row>
    <row r="58" spans="1:2" ht="12.75">
      <c r="A58" s="46" t="s">
        <v>24</v>
      </c>
      <c r="B58" s="47">
        <v>0</v>
      </c>
    </row>
    <row r="59" spans="1:2" ht="12.75">
      <c r="A59" s="46" t="s">
        <v>25</v>
      </c>
      <c r="B59" s="47">
        <v>35</v>
      </c>
    </row>
    <row r="60" spans="1:2" ht="12.75">
      <c r="A60" s="46" t="s">
        <v>26</v>
      </c>
      <c r="B60" s="47">
        <v>3680</v>
      </c>
    </row>
    <row r="61" spans="1:2" ht="12.75">
      <c r="A61" s="46" t="s">
        <v>27</v>
      </c>
      <c r="B61" s="48">
        <v>1.75</v>
      </c>
    </row>
    <row r="62" spans="1:2" ht="12.75">
      <c r="A62" s="46" t="s">
        <v>28</v>
      </c>
      <c r="B62" s="48">
        <v>92</v>
      </c>
    </row>
    <row r="63" spans="1:2" ht="12.75">
      <c r="A63" s="46" t="s">
        <v>29</v>
      </c>
      <c r="B63" s="48">
        <v>0</v>
      </c>
    </row>
    <row r="64" spans="1:2" ht="12.75">
      <c r="A64" s="46" t="s">
        <v>30</v>
      </c>
      <c r="B64" s="46" t="s">
        <v>31</v>
      </c>
    </row>
    <row r="65" spans="1:2" ht="12.75">
      <c r="A65" s="46" t="s">
        <v>32</v>
      </c>
      <c r="B65" s="47">
        <v>585.89217626634</v>
      </c>
    </row>
    <row r="66" spans="1:2" ht="12.75">
      <c r="A66" s="46" t="s">
        <v>33</v>
      </c>
      <c r="B66" s="47">
        <v>1000</v>
      </c>
    </row>
    <row r="67" spans="1:2" ht="12.75">
      <c r="A67" s="46" t="s">
        <v>34</v>
      </c>
      <c r="B67" s="47">
        <v>261.394897638889</v>
      </c>
    </row>
    <row r="68" spans="1:2" ht="12.75">
      <c r="A68" s="46" t="s">
        <v>35</v>
      </c>
      <c r="B68" s="47">
        <v>180.6667</v>
      </c>
    </row>
    <row r="69" spans="1:2" ht="12.75">
      <c r="A69" s="46" t="s">
        <v>36</v>
      </c>
      <c r="B69" s="48">
        <v>13.0697448819444</v>
      </c>
    </row>
    <row r="70" spans="1:2" ht="12.75">
      <c r="A70" s="46" t="s">
        <v>37</v>
      </c>
      <c r="B70" s="48">
        <v>4.51666666666667</v>
      </c>
    </row>
    <row r="71" spans="1:2" ht="12.75">
      <c r="A71" s="46" t="s">
        <v>38</v>
      </c>
      <c r="B71" s="48">
        <v>0</v>
      </c>
    </row>
    <row r="73" spans="1:3" ht="12.75">
      <c r="A73" s="31" t="s">
        <v>39</v>
      </c>
      <c r="B73" s="31" t="s">
        <v>40</v>
      </c>
      <c r="C73" s="31" t="s">
        <v>41</v>
      </c>
    </row>
    <row r="74" spans="1:3" ht="12.75">
      <c r="A74" s="49" t="s">
        <v>138</v>
      </c>
      <c r="B74" s="49" t="s">
        <v>453</v>
      </c>
      <c r="C74" s="45" t="str">
        <f>Bid_Date</f>
        <v>Friday, December 25, 2015</v>
      </c>
    </row>
    <row r="75" spans="1:3" ht="12.75">
      <c r="A75" s="49" t="s">
        <v>454</v>
      </c>
      <c r="B75" s="49" t="s">
        <v>455</v>
      </c>
      <c r="C75" s="45">
        <f>Budget_FeeMU</f>
        <v>0.5</v>
      </c>
    </row>
    <row r="76" spans="1:3" ht="12.75">
      <c r="A76" s="49" t="s">
        <v>456</v>
      </c>
      <c r="B76" s="49" t="s">
        <v>457</v>
      </c>
      <c r="C76" s="45">
        <f>Budget_LaborMU</f>
        <v>0.3</v>
      </c>
    </row>
    <row r="77" spans="1:3" ht="12.75">
      <c r="A77" s="49" t="s">
        <v>458</v>
      </c>
      <c r="B77" s="49" t="s">
        <v>459</v>
      </c>
      <c r="C77" s="45">
        <f>Budget_LaborMU2</f>
        <v>0.4</v>
      </c>
    </row>
    <row r="78" spans="1:3" ht="12.75">
      <c r="A78" s="49" t="s">
        <v>460</v>
      </c>
      <c r="B78" s="49" t="s">
        <v>461</v>
      </c>
      <c r="C78" s="45">
        <f>Budget_MaterialMU</f>
        <v>0.1</v>
      </c>
    </row>
    <row r="79" spans="1:3" ht="12.75">
      <c r="A79" s="49" t="s">
        <v>462</v>
      </c>
      <c r="B79" s="49" t="s">
        <v>463</v>
      </c>
      <c r="C79" s="45">
        <f>Budget_MaterialMU2</f>
        <v>0.2</v>
      </c>
    </row>
    <row r="80" spans="1:3" ht="12.75">
      <c r="A80" s="49" t="s">
        <v>464</v>
      </c>
      <c r="B80" s="49" t="s">
        <v>465</v>
      </c>
      <c r="C80" s="45">
        <f>Budget_SubContractsMU</f>
        <v>0.6</v>
      </c>
    </row>
    <row r="81" spans="1:3" ht="12.75">
      <c r="A81" s="49" t="s">
        <v>466</v>
      </c>
      <c r="B81" s="49" t="s">
        <v>467</v>
      </c>
      <c r="C81" s="45">
        <f>Budget_Tax1Rate</f>
        <v>0</v>
      </c>
    </row>
    <row r="82" spans="1:3" ht="12.75">
      <c r="A82" s="49" t="s">
        <v>468</v>
      </c>
      <c r="B82" s="49" t="s">
        <v>469</v>
      </c>
      <c r="C82" s="45">
        <f>Budget_TaxRateBO</f>
        <v>0</v>
      </c>
    </row>
    <row r="83" spans="1:3" ht="12.75">
      <c r="A83" s="49" t="s">
        <v>470</v>
      </c>
      <c r="B83" s="49" t="s">
        <v>471</v>
      </c>
      <c r="C83" s="45">
        <f>Budget_TaxRateLabor</f>
        <v>0</v>
      </c>
    </row>
    <row r="84" spans="1:3" ht="12.75">
      <c r="A84" s="49" t="s">
        <v>472</v>
      </c>
      <c r="B84" s="49" t="s">
        <v>473</v>
      </c>
      <c r="C84" s="45">
        <f>Budget_TaxRateLabor2</f>
        <v>0</v>
      </c>
    </row>
    <row r="85" spans="1:3" ht="12.75">
      <c r="A85" s="49" t="s">
        <v>474</v>
      </c>
      <c r="B85" s="49" t="s">
        <v>475</v>
      </c>
      <c r="C85" s="45">
        <f>Budget_TaxRateMaterial</f>
        <v>0</v>
      </c>
    </row>
    <row r="86" spans="1:3" ht="12.75">
      <c r="A86" s="49" t="s">
        <v>476</v>
      </c>
      <c r="B86" s="49" t="s">
        <v>477</v>
      </c>
      <c r="C86" s="45">
        <f>Budget_TaxRateMaterial2</f>
        <v>0</v>
      </c>
    </row>
    <row r="87" spans="1:3" ht="12.75">
      <c r="A87" s="49" t="s">
        <v>478</v>
      </c>
      <c r="B87" s="49" t="s">
        <v>479</v>
      </c>
      <c r="C87" s="45">
        <f>Budget_TaxRateProfit</f>
        <v>0</v>
      </c>
    </row>
    <row r="88" spans="1:3" ht="12.75">
      <c r="A88" s="49" t="s">
        <v>480</v>
      </c>
      <c r="B88" s="49" t="s">
        <v>481</v>
      </c>
      <c r="C88" s="45">
        <f>BudgetSUM_FeeMU</f>
        <v>0.5</v>
      </c>
    </row>
    <row r="89" spans="1:3" ht="12.75">
      <c r="A89" s="49" t="s">
        <v>482</v>
      </c>
      <c r="B89" s="49" t="s">
        <v>483</v>
      </c>
      <c r="C89" s="45">
        <f>BudgetSUM_LaborMU</f>
        <v>0.3</v>
      </c>
    </row>
    <row r="90" spans="1:3" ht="12.75">
      <c r="A90" s="49" t="s">
        <v>484</v>
      </c>
      <c r="B90" s="49" t="s">
        <v>485</v>
      </c>
      <c r="C90" s="45">
        <f>BudgetSUM_LaborMU2</f>
        <v>0.4</v>
      </c>
    </row>
    <row r="91" spans="1:3" ht="12.75">
      <c r="A91" s="49" t="s">
        <v>486</v>
      </c>
      <c r="B91" s="49" t="s">
        <v>487</v>
      </c>
      <c r="C91" s="45">
        <f>BudgetSUM_MaterialMU</f>
        <v>0.1</v>
      </c>
    </row>
    <row r="92" spans="1:3" ht="12.75">
      <c r="A92" s="49" t="s">
        <v>488</v>
      </c>
      <c r="B92" s="49" t="s">
        <v>489</v>
      </c>
      <c r="C92" s="45">
        <f>BudgetSUM_MaterialMU2</f>
        <v>0.2</v>
      </c>
    </row>
    <row r="93" spans="1:3" ht="12.75">
      <c r="A93" s="49" t="s">
        <v>490</v>
      </c>
      <c r="B93" s="49" t="s">
        <v>491</v>
      </c>
      <c r="C93" s="45">
        <f>BudgetSUM_SubContractsMU</f>
        <v>0.6</v>
      </c>
    </row>
    <row r="94" spans="1:3" ht="12.75">
      <c r="A94" s="49" t="s">
        <v>492</v>
      </c>
      <c r="B94" s="49" t="s">
        <v>493</v>
      </c>
      <c r="C94" s="45">
        <f>BudgetSUM_Tax1Rate</f>
        <v>0</v>
      </c>
    </row>
    <row r="95" spans="1:3" ht="12.75">
      <c r="A95" s="49" t="s">
        <v>494</v>
      </c>
      <c r="B95" s="49" t="s">
        <v>495</v>
      </c>
      <c r="C95" s="45">
        <f>BudgetSUM_TaxRateBO</f>
        <v>0</v>
      </c>
    </row>
    <row r="96" spans="1:3" ht="12.75">
      <c r="A96" s="49" t="s">
        <v>496</v>
      </c>
      <c r="B96" s="49" t="s">
        <v>497</v>
      </c>
      <c r="C96" s="45">
        <f>BudgetSUM_TaxRateLabor</f>
        <v>0</v>
      </c>
    </row>
    <row r="97" spans="1:3" ht="12.75">
      <c r="A97" s="49" t="s">
        <v>498</v>
      </c>
      <c r="B97" s="49" t="s">
        <v>499</v>
      </c>
      <c r="C97" s="45">
        <f>BudgetSUM_TaxRateLabor2</f>
        <v>0</v>
      </c>
    </row>
    <row r="98" spans="1:3" ht="12.75">
      <c r="A98" s="49" t="s">
        <v>500</v>
      </c>
      <c r="B98" s="49" t="s">
        <v>501</v>
      </c>
      <c r="C98" s="45">
        <f>BudgetSUM_TaxRateMaterial</f>
        <v>0</v>
      </c>
    </row>
    <row r="99" spans="1:3" ht="12.75">
      <c r="A99" s="49" t="s">
        <v>502</v>
      </c>
      <c r="B99" s="49" t="s">
        <v>503</v>
      </c>
      <c r="C99" s="45">
        <f>BudgetSUM_TaxRateMaterial2</f>
        <v>0</v>
      </c>
    </row>
    <row r="100" spans="1:3" ht="12.75">
      <c r="A100" s="49" t="s">
        <v>504</v>
      </c>
      <c r="B100" s="49" t="s">
        <v>505</v>
      </c>
      <c r="C100" s="45">
        <f>BudgetSUM_TaxRateProfit</f>
        <v>0</v>
      </c>
    </row>
    <row r="101" spans="1:3" ht="12.75">
      <c r="A101" s="49" t="s">
        <v>118</v>
      </c>
      <c r="B101" s="49" t="s">
        <v>65</v>
      </c>
      <c r="C101" s="45" t="str">
        <f>Contact1</f>
        <v>Interior Space Planners Inc.</v>
      </c>
    </row>
    <row r="102" spans="1:3" ht="12.75">
      <c r="A102" s="49" t="s">
        <v>120</v>
      </c>
      <c r="B102" s="49" t="s">
        <v>67</v>
      </c>
      <c r="C102" s="45">
        <f>Contact2</f>
        <v>0</v>
      </c>
    </row>
    <row r="103" spans="1:3" ht="12.75">
      <c r="A103" s="49" t="s">
        <v>121</v>
      </c>
      <c r="B103" s="49" t="s">
        <v>69</v>
      </c>
      <c r="C103" s="45">
        <f>Contact3</f>
        <v>0</v>
      </c>
    </row>
    <row r="104" spans="1:3" ht="12.75">
      <c r="A104" s="49" t="s">
        <v>122</v>
      </c>
      <c r="B104" s="49" t="s">
        <v>75</v>
      </c>
      <c r="C104" s="45">
        <f>Contact4</f>
        <v>0</v>
      </c>
    </row>
    <row r="105" spans="1:3" ht="12.75">
      <c r="A105" s="49" t="s">
        <v>139</v>
      </c>
      <c r="B105" s="49" t="s">
        <v>71</v>
      </c>
      <c r="C105" s="45">
        <f>FilteredPortion</f>
        <v>1</v>
      </c>
    </row>
    <row r="106" spans="1:3" ht="12.75">
      <c r="A106" s="49" t="s">
        <v>506</v>
      </c>
      <c r="B106" s="49" t="s">
        <v>507</v>
      </c>
      <c r="C106" s="45">
        <f>Lab_FeeMU</f>
        <v>0.5</v>
      </c>
    </row>
    <row r="107" spans="1:3" ht="12.75">
      <c r="A107" s="49" t="s">
        <v>508</v>
      </c>
      <c r="B107" s="49" t="s">
        <v>509</v>
      </c>
      <c r="C107" s="45">
        <f>Lab_LaborMU</f>
        <v>0.3</v>
      </c>
    </row>
    <row r="108" spans="1:3" ht="12.75">
      <c r="A108" s="49" t="s">
        <v>510</v>
      </c>
      <c r="B108" s="49" t="s">
        <v>511</v>
      </c>
      <c r="C108" s="45">
        <f>Lab_LaborMU2</f>
        <v>0.4</v>
      </c>
    </row>
    <row r="109" spans="1:3" ht="12.75">
      <c r="A109" s="49" t="s">
        <v>512</v>
      </c>
      <c r="B109" s="49" t="s">
        <v>513</v>
      </c>
      <c r="C109" s="45">
        <f>Lab_MaterialMU</f>
        <v>0.1</v>
      </c>
    </row>
    <row r="110" spans="1:3" ht="12.75">
      <c r="A110" s="49" t="s">
        <v>514</v>
      </c>
      <c r="B110" s="49" t="s">
        <v>515</v>
      </c>
      <c r="C110" s="45">
        <f>Lab_MaterialMU2</f>
        <v>0.2</v>
      </c>
    </row>
    <row r="111" spans="1:3" ht="12.75">
      <c r="A111" s="49" t="s">
        <v>516</v>
      </c>
      <c r="B111" s="49" t="s">
        <v>517</v>
      </c>
      <c r="C111" s="45">
        <f>Lab_Mfg_Manufacturing_Cabinet_fab_Cost</f>
        <v>799.06901125</v>
      </c>
    </row>
    <row r="112" spans="1:3" ht="12.75">
      <c r="A112" s="49" t="s">
        <v>518</v>
      </c>
      <c r="B112" s="49" t="s">
        <v>519</v>
      </c>
      <c r="C112" s="45">
        <f>Lab_Mfg_Manufacturing_Cabinet_fab_Qty</f>
        <v>39.9534505625</v>
      </c>
    </row>
    <row r="113" spans="1:3" ht="12.75">
      <c r="A113" s="49" t="s">
        <v>520</v>
      </c>
      <c r="B113" s="49" t="s">
        <v>521</v>
      </c>
      <c r="C113" s="45">
        <f>Lab_Mfg_Manufacturing_Cabinet_fab_Total</f>
        <v>1558.1845719374999</v>
      </c>
    </row>
    <row r="114" spans="1:3" ht="12.75">
      <c r="A114" s="49" t="s">
        <v>522</v>
      </c>
      <c r="B114" s="49" t="s">
        <v>523</v>
      </c>
      <c r="C114" s="45">
        <f>Lab_Mfg_Manufacturing_Counter_fab_Cost</f>
        <v>132.0522222222222</v>
      </c>
    </row>
    <row r="115" spans="1:3" ht="12.75">
      <c r="A115" s="49" t="s">
        <v>524</v>
      </c>
      <c r="B115" s="49" t="s">
        <v>525</v>
      </c>
      <c r="C115" s="45">
        <f>Lab_Mfg_Manufacturing_Counter_fab_Qty</f>
        <v>6.602611111111111</v>
      </c>
    </row>
    <row r="116" spans="1:3" ht="12.75">
      <c r="A116" s="49" t="s">
        <v>526</v>
      </c>
      <c r="B116" s="49" t="s">
        <v>527</v>
      </c>
      <c r="C116" s="45">
        <f>Lab_Mfg_Manufacturing_Counter_fab_Total</f>
        <v>257.50183333333337</v>
      </c>
    </row>
    <row r="117" spans="1:3" ht="12.75">
      <c r="A117" s="49" t="s">
        <v>528</v>
      </c>
      <c r="B117" s="49" t="s">
        <v>529</v>
      </c>
      <c r="C117" s="45">
        <f>Lab_Mfg_Manufacturing_Millwork_fab_Cost</f>
        <v>115.34400000000001</v>
      </c>
    </row>
    <row r="118" spans="1:3" ht="12.75">
      <c r="A118" s="49" t="s">
        <v>530</v>
      </c>
      <c r="B118" s="49" t="s">
        <v>531</v>
      </c>
      <c r="C118" s="45">
        <f>Lab_Mfg_Manufacturing_Millwork_fab_Qty</f>
        <v>5.767200000000001</v>
      </c>
    </row>
    <row r="119" spans="1:3" ht="12.75">
      <c r="A119" s="49" t="s">
        <v>532</v>
      </c>
      <c r="B119" s="49" t="s">
        <v>533</v>
      </c>
      <c r="C119" s="45">
        <f>Lab_Mfg_Manufacturing_Millwork_fab_Total</f>
        <v>224.9208</v>
      </c>
    </row>
    <row r="120" spans="1:3" ht="12.75">
      <c r="A120" s="49" t="s">
        <v>534</v>
      </c>
      <c r="B120" s="49" t="s">
        <v>535</v>
      </c>
      <c r="C120" s="45">
        <f>Lab_Mfg_Manufacturing_MiscellaneousCost</f>
        <v>256.25</v>
      </c>
    </row>
    <row r="121" spans="1:3" ht="12.75">
      <c r="A121" s="49" t="s">
        <v>536</v>
      </c>
      <c r="B121" s="49" t="s">
        <v>537</v>
      </c>
      <c r="C121" s="45">
        <f>Lab_Mfg_Manufacturing_MiscellaneousQty</f>
        <v>12.8125</v>
      </c>
    </row>
    <row r="122" spans="1:3" ht="12.75">
      <c r="A122" s="49" t="s">
        <v>538</v>
      </c>
      <c r="B122" s="49" t="s">
        <v>539</v>
      </c>
      <c r="C122" s="45">
        <f>Lab_Mfg_Manufacturing_MiscellaneousTotal</f>
        <v>499.6875</v>
      </c>
    </row>
    <row r="123" spans="1:3" ht="12.75">
      <c r="A123" s="49" t="s">
        <v>540</v>
      </c>
      <c r="B123" s="49" t="s">
        <v>541</v>
      </c>
      <c r="C123" s="45">
        <f>Lab_Mfg_ManufacturingCost</f>
        <v>1302.7152334722223</v>
      </c>
    </row>
    <row r="124" spans="1:3" ht="12.75">
      <c r="A124" s="49" t="s">
        <v>542</v>
      </c>
      <c r="B124" s="49" t="s">
        <v>543</v>
      </c>
      <c r="C124" s="45">
        <f>Lab_Mfg_ManufacturingMU</f>
        <v>0.3</v>
      </c>
    </row>
    <row r="125" spans="1:3" ht="12.75">
      <c r="A125" s="49" t="s">
        <v>544</v>
      </c>
      <c r="B125" s="49" t="s">
        <v>545</v>
      </c>
      <c r="C125" s="45">
        <f>Lab_Mfg_ManufacturingQty</f>
        <v>65.13576167361111</v>
      </c>
    </row>
    <row r="126" spans="1:3" ht="12.75">
      <c r="A126" s="49" t="s">
        <v>546</v>
      </c>
      <c r="B126" s="49" t="s">
        <v>547</v>
      </c>
      <c r="C126" s="45">
        <f>Lab_Mfg_ManufacturingTotal</f>
        <v>2540.294705270833</v>
      </c>
    </row>
    <row r="127" spans="1:3" ht="12.75">
      <c r="A127" s="49" t="s">
        <v>548</v>
      </c>
      <c r="B127" s="49" t="s">
        <v>549</v>
      </c>
      <c r="C127" s="45">
        <f>Lab_Site_Site_CabinetCost</f>
        <v>370</v>
      </c>
    </row>
    <row r="128" spans="1:3" ht="12.75">
      <c r="A128" s="49" t="s">
        <v>550</v>
      </c>
      <c r="B128" s="49" t="s">
        <v>551</v>
      </c>
      <c r="C128" s="45">
        <f>Lab_Site_Site_CabinetQty</f>
        <v>9.25</v>
      </c>
    </row>
    <row r="129" spans="1:3" ht="12.75">
      <c r="A129" s="49" t="s">
        <v>552</v>
      </c>
      <c r="B129" s="49" t="s">
        <v>553</v>
      </c>
      <c r="C129" s="45">
        <f>Lab_Site_Site_CabinetTotal</f>
        <v>777</v>
      </c>
    </row>
    <row r="130" spans="1:3" ht="12.75">
      <c r="A130" s="49" t="s">
        <v>554</v>
      </c>
      <c r="B130" s="49" t="s">
        <v>555</v>
      </c>
      <c r="C130" s="45">
        <f>Lab_Site_Site_CounterCost</f>
        <v>100.3334</v>
      </c>
    </row>
    <row r="131" spans="1:3" ht="12.75">
      <c r="A131" s="49" t="s">
        <v>556</v>
      </c>
      <c r="B131" s="49" t="s">
        <v>557</v>
      </c>
      <c r="C131" s="45">
        <f>Lab_Site_Site_CounterQty</f>
        <v>2.5083333333333333</v>
      </c>
    </row>
    <row r="132" spans="1:3" ht="12.75">
      <c r="A132" s="49" t="s">
        <v>558</v>
      </c>
      <c r="B132" s="49" t="s">
        <v>559</v>
      </c>
      <c r="C132" s="45">
        <f>Lab_Site_Site_CounterTotal</f>
        <v>210.70013999999998</v>
      </c>
    </row>
    <row r="133" spans="1:3" ht="12.75">
      <c r="A133" s="49" t="s">
        <v>560</v>
      </c>
      <c r="B133" s="49" t="s">
        <v>561</v>
      </c>
      <c r="C133" s="45">
        <f>Lab_Site_Site_CustomCost</f>
        <v>100</v>
      </c>
    </row>
    <row r="134" spans="1:3" ht="12.75">
      <c r="A134" s="49" t="s">
        <v>562</v>
      </c>
      <c r="B134" s="49" t="s">
        <v>563</v>
      </c>
      <c r="C134" s="45">
        <f>Lab_Site_Site_CustomQty</f>
        <v>2.5</v>
      </c>
    </row>
    <row r="135" spans="1:3" ht="12.75">
      <c r="A135" s="49" t="s">
        <v>564</v>
      </c>
      <c r="B135" s="49" t="s">
        <v>565</v>
      </c>
      <c r="C135" s="45">
        <f>Lab_Site_Site_CustomTotal</f>
        <v>210</v>
      </c>
    </row>
    <row r="136" spans="1:3" ht="12.75">
      <c r="A136" s="49" t="s">
        <v>566</v>
      </c>
      <c r="B136" s="49" t="s">
        <v>567</v>
      </c>
      <c r="C136" s="45">
        <f>Lab_Site_Site_Finish_CarpentryCost</f>
        <v>3680</v>
      </c>
    </row>
    <row r="137" spans="1:3" ht="12.75">
      <c r="A137" s="49" t="s">
        <v>568</v>
      </c>
      <c r="B137" s="49" t="s">
        <v>569</v>
      </c>
      <c r="C137" s="45">
        <f>Lab_Site_Site_Finish_CarpentryQty</f>
        <v>92</v>
      </c>
    </row>
    <row r="138" spans="1:3" ht="12.75">
      <c r="A138" s="49" t="s">
        <v>570</v>
      </c>
      <c r="B138" s="49" t="s">
        <v>571</v>
      </c>
      <c r="C138" s="45">
        <f>Lab_Site_Site_Finish_CarpentryTotal</f>
        <v>7728</v>
      </c>
    </row>
    <row r="139" spans="1:3" ht="12.75">
      <c r="A139" s="49" t="s">
        <v>572</v>
      </c>
      <c r="B139" s="49" t="s">
        <v>573</v>
      </c>
      <c r="C139" s="45">
        <f>Lab_Site_SiteCost</f>
        <v>4250.3333999999995</v>
      </c>
    </row>
    <row r="140" spans="1:3" ht="12.75">
      <c r="A140" s="49" t="s">
        <v>574</v>
      </c>
      <c r="B140" s="49" t="s">
        <v>575</v>
      </c>
      <c r="C140" s="45">
        <f>Lab_Site_SiteMU</f>
        <v>0.4</v>
      </c>
    </row>
    <row r="141" spans="1:3" ht="12.75">
      <c r="A141" s="49" t="s">
        <v>576</v>
      </c>
      <c r="B141" s="49" t="s">
        <v>577</v>
      </c>
      <c r="C141" s="45">
        <f>Lab_Site_SiteQty</f>
        <v>106.25833333333333</v>
      </c>
    </row>
    <row r="142" spans="1:3" ht="12.75">
      <c r="A142" s="49" t="s">
        <v>578</v>
      </c>
      <c r="B142" s="49" t="s">
        <v>579</v>
      </c>
      <c r="C142" s="45">
        <f>Lab_Site_SiteTotal</f>
        <v>8925.70014</v>
      </c>
    </row>
    <row r="143" spans="1:3" ht="12.75">
      <c r="A143" s="49" t="s">
        <v>580</v>
      </c>
      <c r="B143" s="49" t="s">
        <v>581</v>
      </c>
      <c r="C143" s="45">
        <f>Lab_SubContractsMU</f>
        <v>0.6</v>
      </c>
    </row>
    <row r="144" spans="1:3" ht="12.75">
      <c r="A144" s="49" t="s">
        <v>582</v>
      </c>
      <c r="B144" s="49" t="s">
        <v>583</v>
      </c>
      <c r="C144" s="45">
        <f>Lab_Tax1Rate</f>
        <v>0</v>
      </c>
    </row>
    <row r="145" spans="1:3" ht="12.75">
      <c r="A145" s="49" t="s">
        <v>584</v>
      </c>
      <c r="B145" s="49" t="s">
        <v>585</v>
      </c>
      <c r="C145" s="45">
        <f>Lab_TaxRateBO</f>
        <v>0</v>
      </c>
    </row>
    <row r="146" spans="1:3" ht="12.75">
      <c r="A146" s="49" t="s">
        <v>586</v>
      </c>
      <c r="B146" s="49" t="s">
        <v>587</v>
      </c>
      <c r="C146" s="45">
        <f>Lab_TaxRateLabor</f>
        <v>0</v>
      </c>
    </row>
    <row r="147" spans="1:3" ht="12.75">
      <c r="A147" s="49" t="s">
        <v>588</v>
      </c>
      <c r="B147" s="49" t="s">
        <v>589</v>
      </c>
      <c r="C147" s="45">
        <f>Lab_TaxRateLabor2</f>
        <v>0</v>
      </c>
    </row>
    <row r="148" spans="1:3" ht="12.75">
      <c r="A148" s="49" t="s">
        <v>590</v>
      </c>
      <c r="B148" s="49" t="s">
        <v>591</v>
      </c>
      <c r="C148" s="45">
        <f>Lab_TaxRateMaterial</f>
        <v>0</v>
      </c>
    </row>
    <row r="149" spans="1:3" ht="12.75">
      <c r="A149" s="49" t="s">
        <v>592</v>
      </c>
      <c r="B149" s="49" t="s">
        <v>593</v>
      </c>
      <c r="C149" s="45">
        <f>Lab_TaxRateMaterial2</f>
        <v>0</v>
      </c>
    </row>
    <row r="150" spans="1:3" ht="12.75">
      <c r="A150" s="49" t="s">
        <v>594</v>
      </c>
      <c r="B150" s="49" t="s">
        <v>595</v>
      </c>
      <c r="C150" s="45">
        <f>Lab_TaxRateProfit</f>
        <v>0</v>
      </c>
    </row>
    <row r="151" spans="1:3" ht="12.75">
      <c r="A151" s="49" t="s">
        <v>141</v>
      </c>
      <c r="B151" s="49" t="s">
        <v>143</v>
      </c>
      <c r="C151" s="45" t="str">
        <f>Label_Contact1</f>
        <v>Job</v>
      </c>
    </row>
    <row r="152" spans="1:3" ht="12.75">
      <c r="A152" s="49" t="s">
        <v>142</v>
      </c>
      <c r="B152" s="49" t="s">
        <v>77</v>
      </c>
      <c r="C152" s="45" t="str">
        <f>Label_Contact2</f>
        <v>Contact2</v>
      </c>
    </row>
    <row r="153" spans="1:3" ht="12.75">
      <c r="A153" s="49" t="s">
        <v>144</v>
      </c>
      <c r="B153" s="49" t="s">
        <v>78</v>
      </c>
      <c r="C153" s="45" t="str">
        <f>Label_Contact3</f>
        <v>Contact3</v>
      </c>
    </row>
    <row r="154" spans="1:3" ht="12.75">
      <c r="A154" s="49" t="s">
        <v>145</v>
      </c>
      <c r="B154" s="49" t="s">
        <v>76</v>
      </c>
      <c r="C154" s="45" t="str">
        <f>Label_Contact4</f>
        <v>Contractor</v>
      </c>
    </row>
    <row r="155" spans="1:3" ht="12.75">
      <c r="A155" s="49" t="s">
        <v>42</v>
      </c>
      <c r="B155" s="49" t="s">
        <v>63</v>
      </c>
      <c r="C155" s="45" t="str">
        <f>Label_Fee</f>
        <v>Profit</v>
      </c>
    </row>
    <row r="156" spans="1:3" ht="12.75">
      <c r="A156" s="49" t="s">
        <v>43</v>
      </c>
      <c r="B156" s="49" t="s">
        <v>50</v>
      </c>
      <c r="C156" s="45" t="str">
        <f>Label_LaborCost1</f>
        <v>Labor Mfg</v>
      </c>
    </row>
    <row r="157" spans="1:3" ht="12.75">
      <c r="A157" s="49" t="s">
        <v>45</v>
      </c>
      <c r="B157" s="49" t="s">
        <v>44</v>
      </c>
      <c r="C157" s="45" t="str">
        <f>Label_LaborCost2</f>
        <v>Labor Site</v>
      </c>
    </row>
    <row r="158" spans="1:3" ht="12.75">
      <c r="A158" s="49" t="s">
        <v>46</v>
      </c>
      <c r="B158" s="49" t="s">
        <v>73</v>
      </c>
      <c r="C158" s="45" t="str">
        <f>Label_Markup</f>
        <v>Markup</v>
      </c>
    </row>
    <row r="159" spans="1:3" ht="12.75">
      <c r="A159" s="49" t="s">
        <v>47</v>
      </c>
      <c r="B159" s="49" t="s">
        <v>146</v>
      </c>
      <c r="C159" s="45" t="str">
        <f>Label_MaterialCost1</f>
        <v>Material Mfg</v>
      </c>
    </row>
    <row r="160" spans="1:3" ht="12.75">
      <c r="A160" s="49" t="s">
        <v>49</v>
      </c>
      <c r="B160" s="49" t="s">
        <v>48</v>
      </c>
      <c r="C160" s="45" t="str">
        <f>Label_MaterialCost2</f>
        <v>Material Buyout</v>
      </c>
    </row>
    <row r="161" spans="1:3" ht="12.75">
      <c r="A161" s="49" t="s">
        <v>596</v>
      </c>
      <c r="B161" s="49" t="s">
        <v>597</v>
      </c>
      <c r="C161" s="45">
        <f>LABOR1Cost</f>
        <v>1302.7152334722223</v>
      </c>
    </row>
    <row r="162" spans="1:3" ht="12.75">
      <c r="A162" s="49" t="s">
        <v>598</v>
      </c>
      <c r="B162" s="49" t="s">
        <v>599</v>
      </c>
      <c r="C162" s="45">
        <f>LABOR1Fee</f>
        <v>846.7649017569444</v>
      </c>
    </row>
    <row r="163" spans="1:3" ht="12.75">
      <c r="A163" s="49" t="s">
        <v>600</v>
      </c>
      <c r="B163" s="49" t="s">
        <v>601</v>
      </c>
      <c r="C163" s="45">
        <f>LABOR1MU</f>
        <v>390.8145700416666</v>
      </c>
    </row>
    <row r="164" spans="1:3" ht="12.75">
      <c r="A164" s="49" t="s">
        <v>602</v>
      </c>
      <c r="B164" s="49" t="s">
        <v>603</v>
      </c>
      <c r="C164" s="45">
        <f>LABOR1Qty</f>
        <v>65.13576167361111</v>
      </c>
    </row>
    <row r="165" spans="1:3" ht="12.75">
      <c r="A165" s="49" t="s">
        <v>604</v>
      </c>
      <c r="B165" s="49" t="s">
        <v>605</v>
      </c>
      <c r="C165" s="45">
        <f>LABOR1Total</f>
        <v>2540.294705270833</v>
      </c>
    </row>
    <row r="166" spans="1:3" ht="12.75">
      <c r="A166" s="49" t="s">
        <v>606</v>
      </c>
      <c r="B166" s="49" t="s">
        <v>607</v>
      </c>
      <c r="C166" s="45">
        <f>LABOR2Cost</f>
        <v>4250.3333999999995</v>
      </c>
    </row>
    <row r="167" spans="1:3" ht="12.75">
      <c r="A167" s="49" t="s">
        <v>608</v>
      </c>
      <c r="B167" s="49" t="s">
        <v>609</v>
      </c>
      <c r="C167" s="45">
        <f>LABOR2Fee</f>
        <v>2975.23338</v>
      </c>
    </row>
    <row r="168" spans="1:3" ht="12.75">
      <c r="A168" s="49" t="s">
        <v>610</v>
      </c>
      <c r="B168" s="49" t="s">
        <v>611</v>
      </c>
      <c r="C168" s="45">
        <f>LABOR2MU</f>
        <v>1700.13336</v>
      </c>
    </row>
    <row r="169" spans="1:3" ht="12.75">
      <c r="A169" s="49" t="s">
        <v>612</v>
      </c>
      <c r="B169" s="49" t="s">
        <v>613</v>
      </c>
      <c r="C169" s="45">
        <f>LABOR2Qty</f>
        <v>106.25833333333333</v>
      </c>
    </row>
    <row r="170" spans="1:3" ht="12.75">
      <c r="A170" s="49" t="s">
        <v>614</v>
      </c>
      <c r="B170" s="49" t="s">
        <v>615</v>
      </c>
      <c r="C170" s="45">
        <f>LABOR2Total</f>
        <v>8925.70014</v>
      </c>
    </row>
    <row r="171" spans="1:3" ht="12.75">
      <c r="A171" s="49" t="s">
        <v>616</v>
      </c>
      <c r="B171" s="49" t="s">
        <v>617</v>
      </c>
      <c r="C171" s="45">
        <f>Mat_Buyout_Buyout_FurnitureCost</f>
        <v>1000</v>
      </c>
    </row>
    <row r="172" spans="1:3" ht="12.75">
      <c r="A172" s="49" t="s">
        <v>618</v>
      </c>
      <c r="B172" s="49" t="s">
        <v>619</v>
      </c>
      <c r="C172" s="45">
        <f>Mat_Buyout_Buyout_FurnitureQty</f>
        <v>4</v>
      </c>
    </row>
    <row r="173" spans="1:3" ht="12.75">
      <c r="A173" s="49" t="s">
        <v>620</v>
      </c>
      <c r="B173" s="49" t="s">
        <v>621</v>
      </c>
      <c r="C173" s="45">
        <f>Mat_Buyout_Buyout_FurnitureTotal</f>
        <v>1800</v>
      </c>
    </row>
    <row r="174" spans="1:3" ht="12.75">
      <c r="A174" s="49" t="s">
        <v>622</v>
      </c>
      <c r="B174" s="49" t="s">
        <v>623</v>
      </c>
      <c r="C174" s="45">
        <f>Mat_Buyout_BuyoutCost</f>
        <v>1000</v>
      </c>
    </row>
    <row r="175" spans="1:3" ht="12.75">
      <c r="A175" s="49" t="s">
        <v>624</v>
      </c>
      <c r="B175" s="49" t="s">
        <v>625</v>
      </c>
      <c r="C175" s="45">
        <f>Mat_Buyout_BuyoutMU</f>
        <v>0.2</v>
      </c>
    </row>
    <row r="176" spans="1:3" ht="12.75">
      <c r="A176" s="49" t="s">
        <v>626</v>
      </c>
      <c r="B176" s="49" t="s">
        <v>627</v>
      </c>
      <c r="C176" s="45">
        <f>Mat_Buyout_BuyoutTotal</f>
        <v>1800</v>
      </c>
    </row>
    <row r="177" spans="1:3" ht="12.75">
      <c r="A177" s="49" t="s">
        <v>628</v>
      </c>
      <c r="B177" s="49" t="s">
        <v>629</v>
      </c>
      <c r="C177" s="45">
        <f>Mat_Buyout_BuyoutWeight</f>
        <v>180</v>
      </c>
    </row>
    <row r="178" spans="1:3" ht="12.75">
      <c r="A178" s="49" t="s">
        <v>630</v>
      </c>
      <c r="B178" s="49" t="s">
        <v>631</v>
      </c>
      <c r="C178" s="45">
        <f>Mat_FeeMU</f>
        <v>0.5</v>
      </c>
    </row>
    <row r="179" spans="1:3" ht="12.75">
      <c r="A179" s="49" t="s">
        <v>632</v>
      </c>
      <c r="B179" s="49" t="s">
        <v>633</v>
      </c>
      <c r="C179" s="45">
        <f>Mat_LaborMU</f>
        <v>0.3</v>
      </c>
    </row>
    <row r="180" spans="1:3" ht="12.75">
      <c r="A180" s="49" t="s">
        <v>634</v>
      </c>
      <c r="B180" s="49" t="s">
        <v>635</v>
      </c>
      <c r="C180" s="45">
        <f>Mat_LaborMU2</f>
        <v>0.4</v>
      </c>
    </row>
    <row r="181" spans="1:3" ht="12.75">
      <c r="A181" s="49" t="s">
        <v>636</v>
      </c>
      <c r="B181" s="49" t="s">
        <v>637</v>
      </c>
      <c r="C181" s="45">
        <f>Mat_MaterialMU</f>
        <v>0.1</v>
      </c>
    </row>
    <row r="182" spans="1:3" ht="12.75">
      <c r="A182" s="49" t="s">
        <v>638</v>
      </c>
      <c r="B182" s="49" t="s">
        <v>639</v>
      </c>
      <c r="C182" s="45">
        <f>Mat_MaterialMU2</f>
        <v>0.2</v>
      </c>
    </row>
    <row r="183" spans="1:3" ht="12.75">
      <c r="A183" s="49" t="s">
        <v>640</v>
      </c>
      <c r="B183" s="49" t="s">
        <v>641</v>
      </c>
      <c r="C183" s="45">
        <f>Mat_Mfg_Edging_PVCCost</f>
        <v>183.84</v>
      </c>
    </row>
    <row r="184" spans="1:3" ht="12.75">
      <c r="A184" s="49" t="s">
        <v>642</v>
      </c>
      <c r="B184" s="49" t="s">
        <v>643</v>
      </c>
      <c r="C184" s="45">
        <f>Mat_Mfg_Edging_PVCQty</f>
        <v>810.3333333333334</v>
      </c>
    </row>
    <row r="185" spans="1:3" ht="12.75">
      <c r="A185" s="49" t="s">
        <v>644</v>
      </c>
      <c r="B185" s="49" t="s">
        <v>645</v>
      </c>
      <c r="C185" s="45">
        <f>Mat_Mfg_Edging_PVCTotal</f>
        <v>303.33599999999996</v>
      </c>
    </row>
    <row r="186" spans="1:3" ht="12.75">
      <c r="A186" s="49" t="s">
        <v>646</v>
      </c>
      <c r="B186" s="49" t="s">
        <v>647</v>
      </c>
      <c r="C186" s="45">
        <f>Mat_Mfg_Edging_WoodCost</f>
        <v>4.2</v>
      </c>
    </row>
    <row r="187" spans="1:3" ht="12.75">
      <c r="A187" s="49" t="s">
        <v>648</v>
      </c>
      <c r="B187" s="49" t="s">
        <v>649</v>
      </c>
      <c r="C187" s="45">
        <f>Mat_Mfg_Edging_WoodQty</f>
        <v>7</v>
      </c>
    </row>
    <row r="188" spans="1:3" ht="12.75">
      <c r="A188" s="49" t="s">
        <v>650</v>
      </c>
      <c r="B188" s="49" t="s">
        <v>651</v>
      </c>
      <c r="C188" s="45">
        <f>Mat_Mfg_Edging_WoodTotal</f>
        <v>6.93</v>
      </c>
    </row>
    <row r="189" spans="1:3" ht="12.75">
      <c r="A189" s="49" t="s">
        <v>652</v>
      </c>
      <c r="B189" s="49" t="s">
        <v>653</v>
      </c>
      <c r="C189" s="45">
        <f>Mat_Mfg_EdgingCost</f>
        <v>188.04</v>
      </c>
    </row>
    <row r="190" spans="1:3" ht="12.75">
      <c r="A190" s="49" t="s">
        <v>654</v>
      </c>
      <c r="B190" s="49" t="s">
        <v>655</v>
      </c>
      <c r="C190" s="45">
        <f>Mat_Mfg_EdgingMU</f>
        <v>0.1</v>
      </c>
    </row>
    <row r="191" spans="1:3" ht="12.75">
      <c r="A191" s="49" t="s">
        <v>656</v>
      </c>
      <c r="B191" s="49" t="s">
        <v>657</v>
      </c>
      <c r="C191" s="45">
        <f>Mat_Mfg_EdgingTotal</f>
        <v>310.26599999999996</v>
      </c>
    </row>
    <row r="192" spans="1:3" ht="12.75">
      <c r="A192" s="49" t="s">
        <v>658</v>
      </c>
      <c r="B192" s="49" t="s">
        <v>659</v>
      </c>
      <c r="C192" s="45">
        <f>Mat_Mfg_EdgingWeight</f>
        <v>33.333333333333336</v>
      </c>
    </row>
    <row r="193" spans="1:3" ht="12.75">
      <c r="A193" s="49" t="s">
        <v>660</v>
      </c>
      <c r="B193" s="49" t="s">
        <v>661</v>
      </c>
      <c r="C193" s="45">
        <f>Mat_Mfg_Hardware_FastenersCost</f>
        <v>4.48</v>
      </c>
    </row>
    <row r="194" spans="1:3" ht="12.75">
      <c r="A194" s="49" t="s">
        <v>662</v>
      </c>
      <c r="B194" s="49" t="s">
        <v>663</v>
      </c>
      <c r="C194" s="45">
        <f>Mat_Mfg_Hardware_FastenersQty</f>
        <v>448</v>
      </c>
    </row>
    <row r="195" spans="1:3" ht="12.75">
      <c r="A195" s="49" t="s">
        <v>664</v>
      </c>
      <c r="B195" s="49" t="s">
        <v>665</v>
      </c>
      <c r="C195" s="45">
        <f>Mat_Mfg_Hardware_FastenersTotal</f>
        <v>7.392000000000001</v>
      </c>
    </row>
    <row r="196" spans="1:3" ht="12.75">
      <c r="A196" s="49" t="s">
        <v>666</v>
      </c>
      <c r="B196" s="49" t="s">
        <v>667</v>
      </c>
      <c r="C196" s="45">
        <f>Mat_Mfg_Hardware_HingesCost</f>
        <v>45.6</v>
      </c>
    </row>
    <row r="197" spans="1:3" ht="12.75">
      <c r="A197" s="49" t="s">
        <v>668</v>
      </c>
      <c r="B197" s="49" t="s">
        <v>669</v>
      </c>
      <c r="C197" s="45">
        <f>Mat_Mfg_Hardware_HingesQty</f>
        <v>32</v>
      </c>
    </row>
    <row r="198" spans="1:3" ht="12.75">
      <c r="A198" s="49" t="s">
        <v>670</v>
      </c>
      <c r="B198" s="49" t="s">
        <v>671</v>
      </c>
      <c r="C198" s="45">
        <f>Mat_Mfg_Hardware_HingesTotal</f>
        <v>75.24000000000001</v>
      </c>
    </row>
    <row r="199" spans="1:3" ht="12.75">
      <c r="A199" s="49" t="s">
        <v>672</v>
      </c>
      <c r="B199" s="49" t="s">
        <v>673</v>
      </c>
      <c r="C199" s="45">
        <f>Mat_Mfg_Hardware_LocksCost</f>
        <v>800</v>
      </c>
    </row>
    <row r="200" spans="1:3" ht="12.75">
      <c r="A200" s="49" t="s">
        <v>674</v>
      </c>
      <c r="B200" s="49" t="s">
        <v>675</v>
      </c>
      <c r="C200" s="45">
        <f>Mat_Mfg_Hardware_LocksQty</f>
        <v>32</v>
      </c>
    </row>
    <row r="201" spans="1:3" ht="12.75">
      <c r="A201" s="49" t="s">
        <v>676</v>
      </c>
      <c r="B201" s="49" t="s">
        <v>677</v>
      </c>
      <c r="C201" s="45">
        <f>Mat_Mfg_Hardware_LocksTotal</f>
        <v>1320</v>
      </c>
    </row>
    <row r="202" spans="1:3" ht="12.75">
      <c r="A202" s="49" t="s">
        <v>678</v>
      </c>
      <c r="B202" s="49" t="s">
        <v>679</v>
      </c>
      <c r="C202" s="45">
        <f>Mat_Mfg_Hardware_MiscellaneousCost</f>
        <v>5</v>
      </c>
    </row>
    <row r="203" spans="1:3" ht="12.75">
      <c r="A203" s="49" t="s">
        <v>680</v>
      </c>
      <c r="B203" s="49" t="s">
        <v>681</v>
      </c>
      <c r="C203" s="45">
        <f>Mat_Mfg_Hardware_MiscellaneousQty</f>
        <v>2</v>
      </c>
    </row>
    <row r="204" spans="1:3" ht="12.75">
      <c r="A204" s="49" t="s">
        <v>682</v>
      </c>
      <c r="B204" s="49" t="s">
        <v>683</v>
      </c>
      <c r="C204" s="45">
        <f>Mat_Mfg_Hardware_MiscellaneousTotal</f>
        <v>8.25</v>
      </c>
    </row>
    <row r="205" spans="1:3" ht="12.75">
      <c r="A205" s="49" t="s">
        <v>684</v>
      </c>
      <c r="B205" s="49" t="s">
        <v>685</v>
      </c>
      <c r="C205" s="45">
        <f>Mat_Mfg_Hardware_PullsCost</f>
        <v>25.2</v>
      </c>
    </row>
    <row r="206" spans="1:3" ht="12.75">
      <c r="A206" s="49" t="s">
        <v>686</v>
      </c>
      <c r="B206" s="49" t="s">
        <v>687</v>
      </c>
      <c r="C206" s="45">
        <f>Mat_Mfg_Hardware_PullsQty</f>
        <v>42</v>
      </c>
    </row>
    <row r="207" spans="1:3" ht="12.75">
      <c r="A207" s="49" t="s">
        <v>688</v>
      </c>
      <c r="B207" s="49" t="s">
        <v>689</v>
      </c>
      <c r="C207" s="45">
        <f>Mat_Mfg_Hardware_PullsTotal</f>
        <v>41.58</v>
      </c>
    </row>
    <row r="208" spans="1:3" ht="12.75">
      <c r="A208" s="49" t="s">
        <v>690</v>
      </c>
      <c r="B208" s="49" t="s">
        <v>691</v>
      </c>
      <c r="C208" s="45">
        <f>Mat_Mfg_Hardware_Shelf_FittingsCost</f>
        <v>0.6</v>
      </c>
    </row>
    <row r="209" spans="1:3" ht="12.75">
      <c r="A209" s="49" t="s">
        <v>692</v>
      </c>
      <c r="B209" s="49" t="s">
        <v>693</v>
      </c>
      <c r="C209" s="45">
        <f>Mat_Mfg_Hardware_Shelf_FittingsQty</f>
        <v>20</v>
      </c>
    </row>
    <row r="210" spans="1:3" ht="12.75">
      <c r="A210" s="49" t="s">
        <v>694</v>
      </c>
      <c r="B210" s="49" t="s">
        <v>695</v>
      </c>
      <c r="C210" s="45">
        <f>Mat_Mfg_Hardware_Shelf_FittingsTotal</f>
        <v>0.9899999999999999</v>
      </c>
    </row>
    <row r="211" spans="1:3" ht="12.75">
      <c r="A211" s="49" t="s">
        <v>696</v>
      </c>
      <c r="B211" s="49" t="s">
        <v>697</v>
      </c>
      <c r="C211" s="45">
        <f>Mat_Mfg_Hardware_SlidesCost</f>
        <v>134</v>
      </c>
    </row>
    <row r="212" spans="1:3" ht="12.75">
      <c r="A212" s="49" t="s">
        <v>698</v>
      </c>
      <c r="B212" s="49" t="s">
        <v>699</v>
      </c>
      <c r="C212" s="45">
        <f>Mat_Mfg_Hardware_SlidesQty</f>
        <v>38</v>
      </c>
    </row>
    <row r="213" spans="1:3" ht="12.75">
      <c r="A213" s="49" t="s">
        <v>700</v>
      </c>
      <c r="B213" s="49" t="s">
        <v>701</v>
      </c>
      <c r="C213" s="45">
        <f>Mat_Mfg_Hardware_SlidesTotal</f>
        <v>221.10000000000002</v>
      </c>
    </row>
    <row r="214" spans="1:3" ht="12.75">
      <c r="A214" s="49" t="s">
        <v>702</v>
      </c>
      <c r="B214" s="49" t="s">
        <v>703</v>
      </c>
      <c r="C214" s="45">
        <f>Mat_Mfg_HardwareCost</f>
        <v>1014.8800000000001</v>
      </c>
    </row>
    <row r="215" spans="1:3" ht="12.75">
      <c r="A215" s="49" t="s">
        <v>704</v>
      </c>
      <c r="B215" s="49" t="s">
        <v>705</v>
      </c>
      <c r="C215" s="45">
        <f>Mat_Mfg_HardwareMU</f>
        <v>0.1</v>
      </c>
    </row>
    <row r="216" spans="1:3" ht="12.75">
      <c r="A216" s="49" t="s">
        <v>706</v>
      </c>
      <c r="B216" s="49" t="s">
        <v>707</v>
      </c>
      <c r="C216" s="45">
        <f>Mat_Mfg_HardwareTotal</f>
        <v>1674.552</v>
      </c>
    </row>
    <row r="217" spans="1:3" ht="12.75">
      <c r="A217" s="49" t="s">
        <v>708</v>
      </c>
      <c r="B217" s="49" t="s">
        <v>709</v>
      </c>
      <c r="C217" s="45">
        <f>Mat_Mfg_HardwareWeight</f>
        <v>150</v>
      </c>
    </row>
    <row r="218" spans="1:3" ht="12.75">
      <c r="A218" s="49" t="s">
        <v>710</v>
      </c>
      <c r="B218" s="49" t="s">
        <v>711</v>
      </c>
      <c r="C218" s="45">
        <f>Mat_Mfg_Lumber_JambCost</f>
        <v>126.75</v>
      </c>
    </row>
    <row r="219" spans="1:3" ht="12.75">
      <c r="A219" s="49" t="s">
        <v>712</v>
      </c>
      <c r="B219" s="49" t="s">
        <v>713</v>
      </c>
      <c r="C219" s="45">
        <f>Mat_Mfg_Lumber_JambQty</f>
        <v>39</v>
      </c>
    </row>
    <row r="220" spans="1:3" ht="12.75">
      <c r="A220" s="49" t="s">
        <v>714</v>
      </c>
      <c r="B220" s="49" t="s">
        <v>715</v>
      </c>
      <c r="C220" s="45">
        <f>Mat_Mfg_Lumber_JambTotal</f>
        <v>209.13750000000002</v>
      </c>
    </row>
    <row r="221" spans="1:3" ht="12.75">
      <c r="A221" s="49" t="s">
        <v>716</v>
      </c>
      <c r="B221" s="49" t="s">
        <v>717</v>
      </c>
      <c r="C221" s="45">
        <f>Mat_Mfg_LumberCost</f>
        <v>126.75</v>
      </c>
    </row>
    <row r="222" spans="1:3" ht="12.75">
      <c r="A222" s="49" t="s">
        <v>718</v>
      </c>
      <c r="B222" s="49" t="s">
        <v>719</v>
      </c>
      <c r="C222" s="45">
        <f>Mat_Mfg_LumberMU</f>
        <v>0.1</v>
      </c>
    </row>
    <row r="223" spans="1:3" ht="12.75">
      <c r="A223" s="49" t="s">
        <v>720</v>
      </c>
      <c r="B223" s="49" t="s">
        <v>721</v>
      </c>
      <c r="C223" s="45">
        <f>Mat_Mfg_LumberTotal</f>
        <v>209.13750000000002</v>
      </c>
    </row>
    <row r="224" spans="1:3" ht="12.75">
      <c r="A224" s="49" t="s">
        <v>722</v>
      </c>
      <c r="B224" s="49" t="s">
        <v>723</v>
      </c>
      <c r="C224" s="45">
        <f>Mat_Mfg_LumberWeight</f>
        <v>136.5</v>
      </c>
    </row>
    <row r="225" spans="1:3" ht="12.75">
      <c r="A225" s="49" t="s">
        <v>724</v>
      </c>
      <c r="B225" s="49" t="s">
        <v>725</v>
      </c>
      <c r="C225" s="45">
        <f>Mat_Mfg_Mouldings_CasingsCost</f>
        <v>29.25</v>
      </c>
    </row>
    <row r="226" spans="1:3" ht="12.75">
      <c r="A226" s="49" t="s">
        <v>726</v>
      </c>
      <c r="B226" s="49" t="s">
        <v>727</v>
      </c>
      <c r="C226" s="45">
        <f>Mat_Mfg_Mouldings_CasingsQty</f>
        <v>39</v>
      </c>
    </row>
    <row r="227" spans="1:3" ht="12.75">
      <c r="A227" s="49" t="s">
        <v>728</v>
      </c>
      <c r="B227" s="49" t="s">
        <v>729</v>
      </c>
      <c r="C227" s="45">
        <f>Mat_Mfg_Mouldings_CasingsTotal</f>
        <v>48.262499999999996</v>
      </c>
    </row>
    <row r="228" spans="1:3" ht="12.75">
      <c r="A228" s="49" t="s">
        <v>730</v>
      </c>
      <c r="B228" s="49" t="s">
        <v>731</v>
      </c>
      <c r="C228" s="45">
        <f>Mat_Mfg_Mouldings_CrownCost</f>
        <v>1350</v>
      </c>
    </row>
    <row r="229" spans="1:3" ht="12.75">
      <c r="A229" s="49" t="s">
        <v>732</v>
      </c>
      <c r="B229" s="49" t="s">
        <v>733</v>
      </c>
      <c r="C229" s="45">
        <f>Mat_Mfg_Mouldings_CrownQty</f>
        <v>900</v>
      </c>
    </row>
    <row r="230" spans="1:3" ht="12.75">
      <c r="A230" s="49" t="s">
        <v>734</v>
      </c>
      <c r="B230" s="49" t="s">
        <v>735</v>
      </c>
      <c r="C230" s="45">
        <f>Mat_Mfg_Mouldings_CrownTotal</f>
        <v>2227.5</v>
      </c>
    </row>
    <row r="231" spans="1:3" ht="12.75">
      <c r="A231" s="49" t="s">
        <v>736</v>
      </c>
      <c r="B231" s="49" t="s">
        <v>737</v>
      </c>
      <c r="C231" s="45">
        <f>Mat_Mfg_MouldingsCost</f>
        <v>1379.25</v>
      </c>
    </row>
    <row r="232" spans="1:3" ht="12.75">
      <c r="A232" s="49" t="s">
        <v>738</v>
      </c>
      <c r="B232" s="49" t="s">
        <v>739</v>
      </c>
      <c r="C232" s="45">
        <f>Mat_Mfg_MouldingsMU</f>
        <v>0.1</v>
      </c>
    </row>
    <row r="233" spans="1:3" ht="12.75">
      <c r="A233" s="49" t="s">
        <v>740</v>
      </c>
      <c r="B233" s="49" t="s">
        <v>741</v>
      </c>
      <c r="C233" s="45">
        <f>Mat_Mfg_MouldingsTotal</f>
        <v>2275.7625</v>
      </c>
    </row>
    <row r="234" spans="1:3" ht="12.75">
      <c r="A234" s="49" t="s">
        <v>742</v>
      </c>
      <c r="B234" s="49" t="s">
        <v>743</v>
      </c>
      <c r="C234" s="45">
        <f>Mat_Mfg_MouldingsWeight</f>
        <v>1087.8</v>
      </c>
    </row>
    <row r="235" spans="1:3" ht="12.75">
      <c r="A235" s="49" t="s">
        <v>744</v>
      </c>
      <c r="B235" s="49" t="s">
        <v>745</v>
      </c>
      <c r="C235" s="45">
        <f>Mat_Mfg_Sheet_Goods_LayupCost</f>
        <v>82.38725490196079</v>
      </c>
    </row>
    <row r="236" spans="1:3" ht="12.75">
      <c r="A236" s="49" t="s">
        <v>746</v>
      </c>
      <c r="B236" s="49" t="s">
        <v>747</v>
      </c>
      <c r="C236" s="45">
        <f>Mat_Mfg_Sheet_Goods_LayupQty</f>
        <v>28.583333333333336</v>
      </c>
    </row>
    <row r="237" spans="1:3" ht="12.75">
      <c r="A237" s="49" t="s">
        <v>748</v>
      </c>
      <c r="B237" s="49" t="s">
        <v>749</v>
      </c>
      <c r="C237" s="45">
        <f>Mat_Mfg_Sheet_Goods_LayupTotal</f>
        <v>135.9389705882353</v>
      </c>
    </row>
    <row r="238" spans="1:3" ht="12.75">
      <c r="A238" s="49" t="s">
        <v>750</v>
      </c>
      <c r="B238" s="49" t="s">
        <v>751</v>
      </c>
      <c r="C238" s="45">
        <f>Mat_Mfg_Sheet_Goods_MelamineCost</f>
        <v>166.9235168426345</v>
      </c>
    </row>
    <row r="239" spans="1:3" ht="12.75">
      <c r="A239" s="49" t="s">
        <v>752</v>
      </c>
      <c r="B239" s="49" t="s">
        <v>753</v>
      </c>
      <c r="C239" s="45">
        <f>Mat_Mfg_Sheet_Goods_MelamineQty</f>
        <v>160.68055555555557</v>
      </c>
    </row>
    <row r="240" spans="1:3" ht="12.75">
      <c r="A240" s="49" t="s">
        <v>754</v>
      </c>
      <c r="B240" s="49" t="s">
        <v>755</v>
      </c>
      <c r="C240" s="45">
        <f>Mat_Mfg_Sheet_Goods_MelamineTotal</f>
        <v>275.42380279034694</v>
      </c>
    </row>
    <row r="241" spans="1:3" ht="12.75">
      <c r="A241" s="49" t="s">
        <v>756</v>
      </c>
      <c r="B241" s="49" t="s">
        <v>757</v>
      </c>
      <c r="C241" s="45">
        <f>Mat_Mfg_Sheet_Goods_Plastic_LaminateCost</f>
        <v>236.11762152777774</v>
      </c>
    </row>
    <row r="242" spans="1:3" ht="12.75">
      <c r="A242" s="49" t="s">
        <v>758</v>
      </c>
      <c r="B242" s="49" t="s">
        <v>759</v>
      </c>
      <c r="C242" s="45">
        <f>Mat_Mfg_Sheet_Goods_Plastic_LaminateQty</f>
        <v>238.45138888888889</v>
      </c>
    </row>
    <row r="243" spans="1:3" ht="12.75">
      <c r="A243" s="49" t="s">
        <v>760</v>
      </c>
      <c r="B243" s="49" t="s">
        <v>761</v>
      </c>
      <c r="C243" s="45">
        <f>Mat_Mfg_Sheet_Goods_Plastic_LaminateTotal</f>
        <v>389.59407552083326</v>
      </c>
    </row>
    <row r="244" spans="1:3" ht="12.75">
      <c r="A244" s="49" t="s">
        <v>762</v>
      </c>
      <c r="B244" s="49" t="s">
        <v>763</v>
      </c>
      <c r="C244" s="45">
        <f>Mat_Mfg_Sheet_Goods_PlywoodCost</f>
        <v>1291.1911764705883</v>
      </c>
    </row>
    <row r="245" spans="1:3" ht="12.75">
      <c r="A245" s="49" t="s">
        <v>764</v>
      </c>
      <c r="B245" s="49" t="s">
        <v>765</v>
      </c>
      <c r="C245" s="45">
        <f>Mat_Mfg_Sheet_Goods_PlywoodQty</f>
        <v>811.25</v>
      </c>
    </row>
    <row r="246" spans="1:3" ht="12.75">
      <c r="A246" s="49" t="s">
        <v>766</v>
      </c>
      <c r="B246" s="49" t="s">
        <v>767</v>
      </c>
      <c r="C246" s="45">
        <f>Mat_Mfg_Sheet_Goods_PlywoodTotal</f>
        <v>2130.4654411764704</v>
      </c>
    </row>
    <row r="247" spans="1:3" ht="12.75">
      <c r="A247" s="49" t="s">
        <v>768</v>
      </c>
      <c r="B247" s="49" t="s">
        <v>769</v>
      </c>
      <c r="C247" s="45">
        <f>Mat_Mfg_Sheet_GoodsCost</f>
        <v>1776.6195697429612</v>
      </c>
    </row>
    <row r="248" spans="1:3" ht="12.75">
      <c r="A248" s="49" t="s">
        <v>770</v>
      </c>
      <c r="B248" s="49" t="s">
        <v>771</v>
      </c>
      <c r="C248" s="45">
        <f>Mat_Mfg_Sheet_GoodsMU</f>
        <v>0.1</v>
      </c>
    </row>
    <row r="249" spans="1:3" ht="12.75">
      <c r="A249" s="49" t="s">
        <v>772</v>
      </c>
      <c r="B249" s="49" t="s">
        <v>773</v>
      </c>
      <c r="C249" s="45">
        <f>Mat_Mfg_Sheet_GoodsTotal</f>
        <v>2931.4222900758864</v>
      </c>
    </row>
    <row r="250" spans="1:3" ht="12.75">
      <c r="A250" s="49" t="s">
        <v>774</v>
      </c>
      <c r="B250" s="49" t="s">
        <v>775</v>
      </c>
      <c r="C250" s="45">
        <f>Mat_Mfg_Sheet_GoodsWeight</f>
        <v>1816.284736111111</v>
      </c>
    </row>
    <row r="251" spans="1:3" ht="12.75">
      <c r="A251" s="49" t="s">
        <v>776</v>
      </c>
      <c r="B251" s="49" t="s">
        <v>777</v>
      </c>
      <c r="C251" s="45">
        <f>Mat_SubContractsMU</f>
        <v>0.6</v>
      </c>
    </row>
    <row r="252" spans="1:3" ht="12.75">
      <c r="A252" s="49" t="s">
        <v>778</v>
      </c>
      <c r="B252" s="49" t="s">
        <v>779</v>
      </c>
      <c r="C252" s="45">
        <f>Mat_Tax1Rate</f>
        <v>0</v>
      </c>
    </row>
    <row r="253" spans="1:3" ht="12.75">
      <c r="A253" s="49" t="s">
        <v>780</v>
      </c>
      <c r="B253" s="49" t="s">
        <v>781</v>
      </c>
      <c r="C253" s="45">
        <f>Mat_TaxRateBO</f>
        <v>0</v>
      </c>
    </row>
    <row r="254" spans="1:3" ht="12.75">
      <c r="A254" s="49" t="s">
        <v>782</v>
      </c>
      <c r="B254" s="49" t="s">
        <v>783</v>
      </c>
      <c r="C254" s="45">
        <f>Mat_TaxRateLabor</f>
        <v>0</v>
      </c>
    </row>
    <row r="255" spans="1:3" ht="12.75">
      <c r="A255" s="49" t="s">
        <v>784</v>
      </c>
      <c r="B255" s="49" t="s">
        <v>785</v>
      </c>
      <c r="C255" s="45">
        <f>Mat_TaxRateLabor2</f>
        <v>0</v>
      </c>
    </row>
    <row r="256" spans="1:3" ht="12.75">
      <c r="A256" s="49" t="s">
        <v>786</v>
      </c>
      <c r="B256" s="49" t="s">
        <v>787</v>
      </c>
      <c r="C256" s="45">
        <f>Mat_TaxRateMaterial</f>
        <v>0</v>
      </c>
    </row>
    <row r="257" spans="1:3" ht="12.75">
      <c r="A257" s="49" t="s">
        <v>788</v>
      </c>
      <c r="B257" s="49" t="s">
        <v>789</v>
      </c>
      <c r="C257" s="45">
        <f>Mat_TaxRateMaterial2</f>
        <v>0</v>
      </c>
    </row>
    <row r="258" spans="1:3" ht="12.75">
      <c r="A258" s="49" t="s">
        <v>790</v>
      </c>
      <c r="B258" s="49" t="s">
        <v>791</v>
      </c>
      <c r="C258" s="45">
        <f>Mat_TaxRateProfit</f>
        <v>0</v>
      </c>
    </row>
    <row r="259" spans="1:3" ht="12.75">
      <c r="A259" s="49" t="s">
        <v>792</v>
      </c>
      <c r="B259" s="49" t="s">
        <v>793</v>
      </c>
      <c r="C259" s="45">
        <f>MATERIAL1Cost</f>
        <v>4485.539569742961</v>
      </c>
    </row>
    <row r="260" spans="1:3" ht="12.75">
      <c r="A260" s="49" t="s">
        <v>794</v>
      </c>
      <c r="B260" s="49" t="s">
        <v>795</v>
      </c>
      <c r="C260" s="45">
        <f>MATERIAL1Fee</f>
        <v>2467.0467633586286</v>
      </c>
    </row>
    <row r="261" spans="1:3" ht="12.75">
      <c r="A261" s="49" t="s">
        <v>796</v>
      </c>
      <c r="B261" s="49" t="s">
        <v>797</v>
      </c>
      <c r="C261" s="45">
        <f>MATERIAL1MU</f>
        <v>448.5539569742961</v>
      </c>
    </row>
    <row r="262" spans="1:3" ht="12.75">
      <c r="A262" s="49" t="s">
        <v>798</v>
      </c>
      <c r="B262" s="49" t="s">
        <v>799</v>
      </c>
      <c r="C262" s="45">
        <f>MATERIAL1Qty</f>
        <v>3648.2986111111118</v>
      </c>
    </row>
    <row r="263" spans="1:3" ht="12.75">
      <c r="A263" s="49" t="s">
        <v>800</v>
      </c>
      <c r="B263" s="49" t="s">
        <v>801</v>
      </c>
      <c r="C263" s="45">
        <f>MATERIAL1Total</f>
        <v>7401.140290075887</v>
      </c>
    </row>
    <row r="264" spans="1:3" ht="12.75">
      <c r="A264" s="49" t="s">
        <v>802</v>
      </c>
      <c r="B264" s="49" t="s">
        <v>803</v>
      </c>
      <c r="C264" s="45">
        <f>MATERIAL2Cost</f>
        <v>1000</v>
      </c>
    </row>
    <row r="265" spans="1:3" ht="12.75">
      <c r="A265" s="49" t="s">
        <v>804</v>
      </c>
      <c r="B265" s="49" t="s">
        <v>805</v>
      </c>
      <c r="C265" s="45">
        <f>MATERIAL2Fee</f>
        <v>600</v>
      </c>
    </row>
    <row r="266" spans="1:3" ht="12.75">
      <c r="A266" s="49" t="s">
        <v>806</v>
      </c>
      <c r="B266" s="49" t="s">
        <v>807</v>
      </c>
      <c r="C266" s="45">
        <f>MATERIAL2MU</f>
        <v>200</v>
      </c>
    </row>
    <row r="267" spans="1:3" ht="12.75">
      <c r="A267" s="49" t="s">
        <v>808</v>
      </c>
      <c r="B267" s="49" t="s">
        <v>809</v>
      </c>
      <c r="C267" s="45">
        <f>MATERIAL2Qty</f>
        <v>4</v>
      </c>
    </row>
    <row r="268" spans="1:3" ht="12.75">
      <c r="A268" s="49" t="s">
        <v>810</v>
      </c>
      <c r="B268" s="49" t="s">
        <v>811</v>
      </c>
      <c r="C268" s="45">
        <f>MATERIAL2Total</f>
        <v>1800</v>
      </c>
    </row>
    <row r="269" spans="1:3" ht="12.75">
      <c r="A269" s="49" t="s">
        <v>812</v>
      </c>
      <c r="B269" s="49" t="s">
        <v>813</v>
      </c>
      <c r="C269" s="45">
        <f>PH_Phase_1_FeeMU</f>
        <v>0.5</v>
      </c>
    </row>
    <row r="270" spans="1:3" ht="12.75">
      <c r="A270" s="49" t="s">
        <v>147</v>
      </c>
      <c r="B270" s="49" t="s">
        <v>152</v>
      </c>
      <c r="C270" s="45">
        <f>PH_Phase_1_LabCost</f>
        <v>1006.32033583333</v>
      </c>
    </row>
    <row r="271" spans="1:3" ht="12.75">
      <c r="A271" s="49" t="s">
        <v>149</v>
      </c>
      <c r="B271" s="49" t="s">
        <v>154</v>
      </c>
      <c r="C271" s="45">
        <f>PH_Phase_1_LabCost2</f>
        <v>389.6667</v>
      </c>
    </row>
    <row r="272" spans="1:3" ht="12.75">
      <c r="A272" s="49" t="s">
        <v>814</v>
      </c>
      <c r="B272" s="49" t="s">
        <v>815</v>
      </c>
      <c r="C272" s="45">
        <f>PH_Phase_1_LaborMU</f>
        <v>0.3</v>
      </c>
    </row>
    <row r="273" spans="1:3" ht="12.75">
      <c r="A273" s="49" t="s">
        <v>816</v>
      </c>
      <c r="B273" s="49" t="s">
        <v>817</v>
      </c>
      <c r="C273" s="45">
        <f>PH_Phase_1_LaborMU2</f>
        <v>0.4</v>
      </c>
    </row>
    <row r="274" spans="1:3" ht="12.75">
      <c r="A274" s="49" t="s">
        <v>151</v>
      </c>
      <c r="B274" s="49" t="s">
        <v>158</v>
      </c>
      <c r="C274" s="45">
        <f>PH_Phase_1_LabQty</f>
        <v>50.3160167916667</v>
      </c>
    </row>
    <row r="275" spans="1:3" ht="12.75">
      <c r="A275" s="49" t="s">
        <v>153</v>
      </c>
      <c r="B275" s="49" t="s">
        <v>818</v>
      </c>
      <c r="C275" s="45">
        <f>PH_Phase_1_LabQty2</f>
        <v>9.74166666666667</v>
      </c>
    </row>
    <row r="276" spans="1:3" ht="12.75">
      <c r="A276" s="49" t="s">
        <v>155</v>
      </c>
      <c r="B276" s="49" t="s">
        <v>148</v>
      </c>
      <c r="C276" s="45">
        <f>PH_Phase_1_MatCost</f>
        <v>2393.64739347662</v>
      </c>
    </row>
    <row r="277" spans="1:3" ht="12.75">
      <c r="A277" s="49" t="s">
        <v>156</v>
      </c>
      <c r="B277" s="49" t="s">
        <v>150</v>
      </c>
      <c r="C277" s="45">
        <f>PH_Phase_1_MatCost2</f>
        <v>0</v>
      </c>
    </row>
    <row r="278" spans="1:3" ht="12.75">
      <c r="A278" s="49" t="s">
        <v>819</v>
      </c>
      <c r="B278" s="49" t="s">
        <v>820</v>
      </c>
      <c r="C278" s="45">
        <f>PH_Phase_1_MaterialMU</f>
        <v>0.1</v>
      </c>
    </row>
    <row r="279" spans="1:3" ht="12.75">
      <c r="A279" s="49" t="s">
        <v>821</v>
      </c>
      <c r="B279" s="49" t="s">
        <v>822</v>
      </c>
      <c r="C279" s="45">
        <f>PH_Phase_1_MaterialMU2</f>
        <v>0.2</v>
      </c>
    </row>
    <row r="280" spans="1:3" ht="12.75">
      <c r="A280" s="49" t="s">
        <v>157</v>
      </c>
      <c r="B280" s="49" t="s">
        <v>163</v>
      </c>
      <c r="C280" s="45">
        <f>PH_Phase_1_SubContract</f>
        <v>450</v>
      </c>
    </row>
    <row r="281" spans="1:3" ht="12.75">
      <c r="A281" s="49" t="s">
        <v>823</v>
      </c>
      <c r="B281" s="49" t="s">
        <v>824</v>
      </c>
      <c r="C281" s="45">
        <f>PH_Phase_1_SubContractsMU</f>
        <v>0.6</v>
      </c>
    </row>
    <row r="282" spans="1:3" ht="12.75">
      <c r="A282" s="49" t="s">
        <v>825</v>
      </c>
      <c r="B282" s="49" t="s">
        <v>826</v>
      </c>
      <c r="C282" s="45">
        <f>PH_Phase_1_Tax1Rate</f>
        <v>0</v>
      </c>
    </row>
    <row r="283" spans="1:3" ht="12.75">
      <c r="A283" s="49" t="s">
        <v>827</v>
      </c>
      <c r="B283" s="49" t="s">
        <v>828</v>
      </c>
      <c r="C283" s="45">
        <f>PH_Phase_1_TaxRateBO</f>
        <v>0</v>
      </c>
    </row>
    <row r="284" spans="1:3" ht="12.75">
      <c r="A284" s="49" t="s">
        <v>829</v>
      </c>
      <c r="B284" s="49" t="s">
        <v>830</v>
      </c>
      <c r="C284" s="45">
        <f>PH_Phase_1_TaxRateLabor</f>
        <v>0</v>
      </c>
    </row>
    <row r="285" spans="1:3" ht="12.75">
      <c r="A285" s="49" t="s">
        <v>831</v>
      </c>
      <c r="B285" s="49" t="s">
        <v>832</v>
      </c>
      <c r="C285" s="45">
        <f>PH_Phase_1_TaxRateLabor2</f>
        <v>0</v>
      </c>
    </row>
    <row r="286" spans="1:3" ht="12.75">
      <c r="A286" s="49" t="s">
        <v>833</v>
      </c>
      <c r="B286" s="49" t="s">
        <v>834</v>
      </c>
      <c r="C286" s="45">
        <f>PH_Phase_1_TaxRateMaterial</f>
        <v>0</v>
      </c>
    </row>
    <row r="287" spans="1:3" ht="12.75">
      <c r="A287" s="49" t="s">
        <v>835</v>
      </c>
      <c r="B287" s="49" t="s">
        <v>836</v>
      </c>
      <c r="C287" s="45">
        <f>PH_Phase_1_TaxRateMaterial2</f>
        <v>0</v>
      </c>
    </row>
    <row r="288" spans="1:3" ht="12.75">
      <c r="A288" s="49" t="s">
        <v>837</v>
      </c>
      <c r="B288" s="49" t="s">
        <v>838</v>
      </c>
      <c r="C288" s="45">
        <f>PH_Phase_1_TaxRateProfit</f>
        <v>0</v>
      </c>
    </row>
    <row r="289" spans="1:3" ht="12.75">
      <c r="A289" s="49" t="s">
        <v>839</v>
      </c>
      <c r="B289" s="49" t="s">
        <v>840</v>
      </c>
      <c r="C289" s="45">
        <f>PH_Phase_2_FeeMU</f>
        <v>0.5</v>
      </c>
    </row>
    <row r="290" spans="1:3" ht="12.75">
      <c r="A290" s="49" t="s">
        <v>51</v>
      </c>
      <c r="B290" s="49" t="s">
        <v>161</v>
      </c>
      <c r="C290" s="45">
        <f>PH_Phase_2_LabCost</f>
        <v>35</v>
      </c>
    </row>
    <row r="291" spans="1:3" ht="12.75">
      <c r="A291" s="49" t="s">
        <v>52</v>
      </c>
      <c r="B291" s="49" t="s">
        <v>162</v>
      </c>
      <c r="C291" s="45">
        <f>PH_Phase_2_LabCost2</f>
        <v>3680</v>
      </c>
    </row>
    <row r="292" spans="1:3" ht="12.75">
      <c r="A292" s="49" t="s">
        <v>841</v>
      </c>
      <c r="B292" s="49" t="s">
        <v>842</v>
      </c>
      <c r="C292" s="45">
        <f>PH_Phase_2_LaborMU</f>
        <v>0.3</v>
      </c>
    </row>
    <row r="293" spans="1:3" ht="12.75">
      <c r="A293" s="49" t="s">
        <v>843</v>
      </c>
      <c r="B293" s="49" t="s">
        <v>844</v>
      </c>
      <c r="C293" s="45">
        <f>PH_Phase_2_LaborMU2</f>
        <v>0.4</v>
      </c>
    </row>
    <row r="294" spans="1:3" ht="12.75">
      <c r="A294" s="49" t="s">
        <v>53</v>
      </c>
      <c r="B294" s="49" t="s">
        <v>164</v>
      </c>
      <c r="C294" s="45">
        <f>PH_Phase_2_LabQty</f>
        <v>1.75</v>
      </c>
    </row>
    <row r="295" spans="1:3" ht="12.75">
      <c r="A295" s="49" t="s">
        <v>54</v>
      </c>
      <c r="B295" s="49" t="s">
        <v>845</v>
      </c>
      <c r="C295" s="45">
        <f>PH_Phase_2_LabQty2</f>
        <v>92</v>
      </c>
    </row>
    <row r="296" spans="1:3" ht="12.75">
      <c r="A296" s="49" t="s">
        <v>56</v>
      </c>
      <c r="B296" s="49" t="s">
        <v>159</v>
      </c>
      <c r="C296" s="45">
        <f>PH_Phase_2_MatCost</f>
        <v>1506</v>
      </c>
    </row>
    <row r="297" spans="1:3" ht="12.75">
      <c r="A297" s="49" t="s">
        <v>58</v>
      </c>
      <c r="B297" s="49" t="s">
        <v>160</v>
      </c>
      <c r="C297" s="45">
        <f>PH_Phase_2_MatCost2</f>
        <v>0</v>
      </c>
    </row>
    <row r="298" spans="1:3" ht="12.75">
      <c r="A298" s="49" t="s">
        <v>846</v>
      </c>
      <c r="B298" s="49" t="s">
        <v>847</v>
      </c>
      <c r="C298" s="45">
        <f>PH_Phase_2_MaterialMU</f>
        <v>0.1</v>
      </c>
    </row>
    <row r="299" spans="1:3" ht="12.75">
      <c r="A299" s="49" t="s">
        <v>848</v>
      </c>
      <c r="B299" s="49" t="s">
        <v>849</v>
      </c>
      <c r="C299" s="45">
        <f>PH_Phase_2_MaterialMU2</f>
        <v>0.2</v>
      </c>
    </row>
    <row r="300" spans="1:3" ht="12.75">
      <c r="A300" s="49" t="s">
        <v>60</v>
      </c>
      <c r="B300" s="49" t="s">
        <v>169</v>
      </c>
      <c r="C300" s="45">
        <f>PH_Phase_2_SubContract</f>
        <v>0</v>
      </c>
    </row>
    <row r="301" spans="1:3" ht="12.75">
      <c r="A301" s="49" t="s">
        <v>850</v>
      </c>
      <c r="B301" s="49" t="s">
        <v>851</v>
      </c>
      <c r="C301" s="45">
        <f>PH_Phase_2_SubContractsMU</f>
        <v>0.6</v>
      </c>
    </row>
    <row r="302" spans="1:3" ht="12.75">
      <c r="A302" s="49" t="s">
        <v>852</v>
      </c>
      <c r="B302" s="49" t="s">
        <v>853</v>
      </c>
      <c r="C302" s="45">
        <f>PH_Phase_2_Tax1Rate</f>
        <v>0</v>
      </c>
    </row>
    <row r="303" spans="1:3" ht="12.75">
      <c r="A303" s="49" t="s">
        <v>854</v>
      </c>
      <c r="B303" s="49" t="s">
        <v>855</v>
      </c>
      <c r="C303" s="45">
        <f>PH_Phase_2_TaxRateBO</f>
        <v>0</v>
      </c>
    </row>
    <row r="304" spans="1:3" ht="12.75">
      <c r="A304" s="49" t="s">
        <v>856</v>
      </c>
      <c r="B304" s="49" t="s">
        <v>857</v>
      </c>
      <c r="C304" s="45">
        <f>PH_Phase_2_TaxRateLabor</f>
        <v>0</v>
      </c>
    </row>
    <row r="305" spans="1:3" ht="12.75">
      <c r="A305" s="49" t="s">
        <v>858</v>
      </c>
      <c r="B305" s="49" t="s">
        <v>859</v>
      </c>
      <c r="C305" s="45">
        <f>PH_Phase_2_TaxRateLabor2</f>
        <v>0</v>
      </c>
    </row>
    <row r="306" spans="1:3" ht="12.75">
      <c r="A306" s="49" t="s">
        <v>860</v>
      </c>
      <c r="B306" s="49" t="s">
        <v>861</v>
      </c>
      <c r="C306" s="45">
        <f>PH_Phase_2_TaxRateMaterial</f>
        <v>0</v>
      </c>
    </row>
    <row r="307" spans="1:3" ht="12.75">
      <c r="A307" s="49" t="s">
        <v>862</v>
      </c>
      <c r="B307" s="49" t="s">
        <v>863</v>
      </c>
      <c r="C307" s="45">
        <f>PH_Phase_2_TaxRateMaterial2</f>
        <v>0</v>
      </c>
    </row>
    <row r="308" spans="1:3" ht="12.75">
      <c r="A308" s="49" t="s">
        <v>864</v>
      </c>
      <c r="B308" s="49" t="s">
        <v>865</v>
      </c>
      <c r="C308" s="45">
        <f>PH_Phase_2_TaxRateProfit</f>
        <v>0</v>
      </c>
    </row>
    <row r="309" spans="1:3" ht="12.75">
      <c r="A309" s="49" t="s">
        <v>866</v>
      </c>
      <c r="B309" s="49" t="s">
        <v>867</v>
      </c>
      <c r="C309" s="45">
        <f>PH_Phase_3_FeeMU</f>
        <v>0.5</v>
      </c>
    </row>
    <row r="310" spans="1:3" ht="12.75">
      <c r="A310" s="49" t="s">
        <v>62</v>
      </c>
      <c r="B310" s="49" t="s">
        <v>167</v>
      </c>
      <c r="C310" s="45">
        <f>PH_Phase_3_LabCost</f>
        <v>261.394897638889</v>
      </c>
    </row>
    <row r="311" spans="1:3" ht="12.75">
      <c r="A311" s="49" t="s">
        <v>64</v>
      </c>
      <c r="B311" s="49" t="s">
        <v>168</v>
      </c>
      <c r="C311" s="45">
        <f>PH_Phase_3_LabCost2</f>
        <v>180.6667</v>
      </c>
    </row>
    <row r="312" spans="1:3" ht="12.75">
      <c r="A312" s="49" t="s">
        <v>868</v>
      </c>
      <c r="B312" s="49" t="s">
        <v>869</v>
      </c>
      <c r="C312" s="45">
        <f>PH_Phase_3_LaborMU</f>
        <v>0.3</v>
      </c>
    </row>
    <row r="313" spans="1:3" ht="12.75">
      <c r="A313" s="49" t="s">
        <v>870</v>
      </c>
      <c r="B313" s="49" t="s">
        <v>871</v>
      </c>
      <c r="C313" s="45">
        <f>PH_Phase_3_LaborMU2</f>
        <v>0.4</v>
      </c>
    </row>
    <row r="314" spans="1:3" ht="12.75">
      <c r="A314" s="49" t="s">
        <v>66</v>
      </c>
      <c r="B314" s="49" t="s">
        <v>170</v>
      </c>
      <c r="C314" s="45">
        <f>PH_Phase_3_LabQty</f>
        <v>13.0697448819444</v>
      </c>
    </row>
    <row r="315" spans="1:3" ht="12.75">
      <c r="A315" s="49" t="s">
        <v>68</v>
      </c>
      <c r="B315" s="49" t="s">
        <v>872</v>
      </c>
      <c r="C315" s="45">
        <f>PH_Phase_3_LabQty2</f>
        <v>4.51666666666667</v>
      </c>
    </row>
    <row r="316" spans="1:3" ht="12.75">
      <c r="A316" s="49" t="s">
        <v>70</v>
      </c>
      <c r="B316" s="49" t="s">
        <v>165</v>
      </c>
      <c r="C316" s="45">
        <f>PH_Phase_3_MatCost</f>
        <v>585.89217626634</v>
      </c>
    </row>
    <row r="317" spans="1:3" ht="12.75">
      <c r="A317" s="49" t="s">
        <v>72</v>
      </c>
      <c r="B317" s="49" t="s">
        <v>166</v>
      </c>
      <c r="C317" s="45">
        <f>PH_Phase_3_MatCost2</f>
        <v>1000</v>
      </c>
    </row>
    <row r="318" spans="1:3" ht="12.75">
      <c r="A318" s="49" t="s">
        <v>873</v>
      </c>
      <c r="B318" s="49" t="s">
        <v>874</v>
      </c>
      <c r="C318" s="45">
        <f>PH_Phase_3_MaterialMU</f>
        <v>0.1</v>
      </c>
    </row>
    <row r="319" spans="1:3" ht="12.75">
      <c r="A319" s="49" t="s">
        <v>875</v>
      </c>
      <c r="B319" s="49" t="s">
        <v>876</v>
      </c>
      <c r="C319" s="45">
        <f>PH_Phase_3_MaterialMU2</f>
        <v>0.2</v>
      </c>
    </row>
    <row r="320" spans="1:3" ht="12.75">
      <c r="A320" s="49" t="s">
        <v>74</v>
      </c>
      <c r="B320" s="49" t="s">
        <v>877</v>
      </c>
      <c r="C320" s="45">
        <f>PH_Phase_3_SubContract</f>
        <v>0</v>
      </c>
    </row>
    <row r="321" spans="1:3" ht="12.75">
      <c r="A321" s="49" t="s">
        <v>878</v>
      </c>
      <c r="B321" s="49" t="s">
        <v>879</v>
      </c>
      <c r="C321" s="45">
        <f>PH_Phase_3_SubContractsMU</f>
        <v>0.6</v>
      </c>
    </row>
    <row r="322" spans="1:3" ht="12.75">
      <c r="A322" s="49" t="s">
        <v>880</v>
      </c>
      <c r="B322" s="49" t="s">
        <v>881</v>
      </c>
      <c r="C322" s="45">
        <f>PH_Phase_3_Tax1Rate</f>
        <v>0</v>
      </c>
    </row>
    <row r="323" spans="1:3" ht="12.75">
      <c r="A323" s="49" t="s">
        <v>882</v>
      </c>
      <c r="B323" s="49" t="s">
        <v>883</v>
      </c>
      <c r="C323" s="45">
        <f>PH_Phase_3_TaxRateBO</f>
        <v>0</v>
      </c>
    </row>
    <row r="324" spans="1:3" ht="12.75">
      <c r="A324" s="49" t="s">
        <v>884</v>
      </c>
      <c r="B324" s="49" t="s">
        <v>885</v>
      </c>
      <c r="C324" s="45">
        <f>PH_Phase_3_TaxRateLabor</f>
        <v>0</v>
      </c>
    </row>
    <row r="325" spans="1:3" ht="12.75">
      <c r="A325" s="49" t="s">
        <v>886</v>
      </c>
      <c r="B325" s="49" t="s">
        <v>887</v>
      </c>
      <c r="C325" s="45">
        <f>PH_Phase_3_TaxRateLabor2</f>
        <v>0</v>
      </c>
    </row>
    <row r="326" spans="1:3" ht="12.75">
      <c r="A326" s="49" t="s">
        <v>888</v>
      </c>
      <c r="B326" s="49" t="s">
        <v>889</v>
      </c>
      <c r="C326" s="45">
        <f>PH_Phase_3_TaxRateMaterial</f>
        <v>0</v>
      </c>
    </row>
    <row r="327" spans="1:3" ht="12.75">
      <c r="A327" s="49" t="s">
        <v>890</v>
      </c>
      <c r="B327" s="49" t="s">
        <v>891</v>
      </c>
      <c r="C327" s="45">
        <f>PH_Phase_3_TaxRateMaterial2</f>
        <v>0</v>
      </c>
    </row>
    <row r="328" spans="1:3" ht="12.75">
      <c r="A328" s="49" t="s">
        <v>892</v>
      </c>
      <c r="B328" s="49" t="s">
        <v>893</v>
      </c>
      <c r="C328" s="45">
        <f>PH_Phase_3_TaxRateProfit</f>
        <v>0</v>
      </c>
    </row>
    <row r="329" spans="1:3" ht="12.75">
      <c r="A329" s="49" t="s">
        <v>894</v>
      </c>
      <c r="B329" s="49" t="s">
        <v>895</v>
      </c>
      <c r="C329" s="45">
        <f>Portion_GC</f>
        <v>1</v>
      </c>
    </row>
    <row r="330" spans="1:3" ht="12.75">
      <c r="A330" s="49" t="s">
        <v>896</v>
      </c>
      <c r="B330" s="49" t="s">
        <v>897</v>
      </c>
      <c r="C330" s="45">
        <f>Prod_FeeMU</f>
        <v>0.5</v>
      </c>
    </row>
    <row r="331" spans="1:3" ht="12.75">
      <c r="A331" s="49" t="s">
        <v>898</v>
      </c>
      <c r="B331" s="49" t="s">
        <v>899</v>
      </c>
      <c r="C331" s="45">
        <f>Prod_LaborMU</f>
        <v>0.3</v>
      </c>
    </row>
    <row r="332" spans="1:3" ht="12.75">
      <c r="A332" s="49" t="s">
        <v>900</v>
      </c>
      <c r="B332" s="49" t="s">
        <v>901</v>
      </c>
      <c r="C332" s="45">
        <f>Prod_LaborMU2</f>
        <v>0.4</v>
      </c>
    </row>
    <row r="333" spans="1:3" ht="12.75">
      <c r="A333" s="49" t="s">
        <v>902</v>
      </c>
      <c r="B333" s="49" t="s">
        <v>903</v>
      </c>
      <c r="C333" s="45">
        <f>Prod_MaterialMU</f>
        <v>0.1</v>
      </c>
    </row>
    <row r="334" spans="1:3" ht="12.75">
      <c r="A334" s="49" t="s">
        <v>904</v>
      </c>
      <c r="B334" s="49" t="s">
        <v>905</v>
      </c>
      <c r="C334" s="45">
        <f>Prod_MaterialMU2</f>
        <v>0.2</v>
      </c>
    </row>
    <row r="335" spans="1:3" ht="12.75">
      <c r="A335" s="49" t="s">
        <v>906</v>
      </c>
      <c r="B335" s="49" t="s">
        <v>907</v>
      </c>
      <c r="C335" s="45">
        <f>Prod_SubContractsMU</f>
        <v>0.6</v>
      </c>
    </row>
    <row r="336" spans="1:3" ht="12.75">
      <c r="A336" s="49" t="s">
        <v>908</v>
      </c>
      <c r="B336" s="49" t="s">
        <v>909</v>
      </c>
      <c r="C336" s="45">
        <f>Prod_Tax1Rate</f>
        <v>0</v>
      </c>
    </row>
    <row r="337" spans="1:3" ht="12.75">
      <c r="A337" s="49" t="s">
        <v>910</v>
      </c>
      <c r="B337" s="49" t="s">
        <v>911</v>
      </c>
      <c r="C337" s="45">
        <f>Prod_TaxRateBO</f>
        <v>0</v>
      </c>
    </row>
    <row r="338" spans="1:3" ht="12.75">
      <c r="A338" s="49" t="s">
        <v>912</v>
      </c>
      <c r="B338" s="49" t="s">
        <v>913</v>
      </c>
      <c r="C338" s="45">
        <f>Prod_TaxRateLabor</f>
        <v>0</v>
      </c>
    </row>
    <row r="339" spans="1:3" ht="12.75">
      <c r="A339" s="49" t="s">
        <v>914</v>
      </c>
      <c r="B339" s="49" t="s">
        <v>915</v>
      </c>
      <c r="C339" s="45">
        <f>Prod_TaxRateLabor2</f>
        <v>0</v>
      </c>
    </row>
    <row r="340" spans="1:3" ht="12.75">
      <c r="A340" s="49" t="s">
        <v>916</v>
      </c>
      <c r="B340" s="49" t="s">
        <v>917</v>
      </c>
      <c r="C340" s="45">
        <f>Prod_TaxRateMaterial</f>
        <v>0</v>
      </c>
    </row>
    <row r="341" spans="1:3" ht="12.75">
      <c r="A341" s="49" t="s">
        <v>918</v>
      </c>
      <c r="B341" s="49" t="s">
        <v>919</v>
      </c>
      <c r="C341" s="45">
        <f>Prod_TaxRateMaterial2</f>
        <v>0</v>
      </c>
    </row>
    <row r="342" spans="1:3" ht="12.75">
      <c r="A342" s="49" t="s">
        <v>920</v>
      </c>
      <c r="B342" s="49" t="s">
        <v>921</v>
      </c>
      <c r="C342" s="45">
        <f>Prod_TaxRateProfit</f>
        <v>0</v>
      </c>
    </row>
    <row r="343" spans="1:3" ht="12.75">
      <c r="A343" s="49" t="s">
        <v>79</v>
      </c>
      <c r="B343" s="49" t="s">
        <v>140</v>
      </c>
      <c r="C343" s="45" t="str">
        <f>ProjectFilter</f>
        <v>None</v>
      </c>
    </row>
    <row r="344" spans="1:3" ht="12.75">
      <c r="A344" s="49" t="s">
        <v>171</v>
      </c>
      <c r="B344" s="49" t="s">
        <v>61</v>
      </c>
      <c r="C344" s="45" t="str">
        <f>ProjectName</f>
        <v>Tutorial</v>
      </c>
    </row>
    <row r="345" spans="1:3" ht="12.75">
      <c r="A345" s="49" t="s">
        <v>81</v>
      </c>
      <c r="B345" s="49" t="s">
        <v>55</v>
      </c>
      <c r="C345" s="45" t="str">
        <f>ProjectTitle</f>
        <v>Starlight Jewellers</v>
      </c>
    </row>
    <row r="346" spans="1:3" ht="12.75">
      <c r="A346" s="49" t="s">
        <v>922</v>
      </c>
      <c r="B346" s="49" t="s">
        <v>923</v>
      </c>
      <c r="C346" s="45">
        <f>Recap_FeeMU</f>
        <v>0.5</v>
      </c>
    </row>
    <row r="347" spans="1:3" ht="12.75">
      <c r="A347" s="49" t="s">
        <v>924</v>
      </c>
      <c r="B347" s="49" t="s">
        <v>925</v>
      </c>
      <c r="C347" s="45">
        <f>Recap_LaborMU</f>
        <v>0.3</v>
      </c>
    </row>
    <row r="348" spans="1:3" ht="12.75">
      <c r="A348" s="49" t="s">
        <v>926</v>
      </c>
      <c r="B348" s="49" t="s">
        <v>927</v>
      </c>
      <c r="C348" s="45">
        <f>Recap_LaborMU2</f>
        <v>0.4</v>
      </c>
    </row>
    <row r="349" spans="1:3" ht="12.75">
      <c r="A349" s="49" t="s">
        <v>928</v>
      </c>
      <c r="B349" s="49" t="s">
        <v>929</v>
      </c>
      <c r="C349" s="45">
        <f>Recap_MaterialMU</f>
        <v>0.1</v>
      </c>
    </row>
    <row r="350" spans="1:3" ht="12.75">
      <c r="A350" s="49" t="s">
        <v>930</v>
      </c>
      <c r="B350" s="49" t="s">
        <v>931</v>
      </c>
      <c r="C350" s="45">
        <f>Recap_MaterialMU2</f>
        <v>0.2</v>
      </c>
    </row>
    <row r="351" spans="1:3" ht="12.75">
      <c r="A351" s="49" t="s">
        <v>932</v>
      </c>
      <c r="B351" s="49" t="s">
        <v>933</v>
      </c>
      <c r="C351" s="45">
        <f>Recap_SubContractsMU</f>
        <v>0.6</v>
      </c>
    </row>
    <row r="352" spans="1:3" ht="12.75">
      <c r="A352" s="49" t="s">
        <v>934</v>
      </c>
      <c r="B352" s="49" t="s">
        <v>935</v>
      </c>
      <c r="C352" s="45">
        <f>Recap_Tax1Rate</f>
        <v>0</v>
      </c>
    </row>
    <row r="353" spans="1:3" ht="12.75">
      <c r="A353" s="49" t="s">
        <v>936</v>
      </c>
      <c r="B353" s="49" t="s">
        <v>937</v>
      </c>
      <c r="C353" s="45">
        <f>Recap_TaxRateBO</f>
        <v>0</v>
      </c>
    </row>
    <row r="354" spans="1:3" ht="12.75">
      <c r="A354" s="49" t="s">
        <v>938</v>
      </c>
      <c r="B354" s="49" t="s">
        <v>939</v>
      </c>
      <c r="C354" s="45">
        <f>Recap_TaxRateLabor</f>
        <v>0</v>
      </c>
    </row>
    <row r="355" spans="1:3" ht="12.75">
      <c r="A355" s="49" t="s">
        <v>940</v>
      </c>
      <c r="B355" s="49" t="s">
        <v>941</v>
      </c>
      <c r="C355" s="45">
        <f>Recap_TaxRateLabor2</f>
        <v>0</v>
      </c>
    </row>
    <row r="356" spans="1:3" ht="12.75">
      <c r="A356" s="49" t="s">
        <v>942</v>
      </c>
      <c r="B356" s="49" t="s">
        <v>943</v>
      </c>
      <c r="C356" s="45">
        <f>Recap_TaxRateMaterial</f>
        <v>0</v>
      </c>
    </row>
    <row r="357" spans="1:3" ht="12.75">
      <c r="A357" s="49" t="s">
        <v>944</v>
      </c>
      <c r="B357" s="49" t="s">
        <v>945</v>
      </c>
      <c r="C357" s="45">
        <f>Recap_TaxRateMaterial2</f>
        <v>0</v>
      </c>
    </row>
    <row r="358" spans="1:3" ht="12.75">
      <c r="A358" s="49" t="s">
        <v>946</v>
      </c>
      <c r="B358" s="49" t="s">
        <v>947</v>
      </c>
      <c r="C358" s="45">
        <f>Recap_TaxRateProfit</f>
        <v>0</v>
      </c>
    </row>
    <row r="359" spans="1:3" ht="12.75">
      <c r="A359" s="49" t="s">
        <v>948</v>
      </c>
      <c r="B359" s="49" t="s">
        <v>949</v>
      </c>
      <c r="C359" s="45">
        <f>RV_CCO_1_FeeMU</f>
        <v>0.5</v>
      </c>
    </row>
    <row r="360" spans="1:3" ht="12.75">
      <c r="A360" s="49" t="s">
        <v>950</v>
      </c>
      <c r="B360" s="49" t="s">
        <v>951</v>
      </c>
      <c r="C360" s="45">
        <f>RV_CCO_1_LaborMU</f>
        <v>0.3</v>
      </c>
    </row>
    <row r="361" spans="1:3" ht="12.75">
      <c r="A361" s="49" t="s">
        <v>952</v>
      </c>
      <c r="B361" s="49" t="s">
        <v>953</v>
      </c>
      <c r="C361" s="45">
        <f>RV_CCO_1_LaborMU2</f>
        <v>0.4</v>
      </c>
    </row>
    <row r="362" spans="1:3" ht="12.75">
      <c r="A362" s="49" t="s">
        <v>954</v>
      </c>
      <c r="B362" s="49" t="s">
        <v>955</v>
      </c>
      <c r="C362" s="45">
        <f>RV_CCO_1_MaterialMU</f>
        <v>0.1</v>
      </c>
    </row>
    <row r="363" spans="1:3" ht="12.75">
      <c r="A363" s="49" t="s">
        <v>956</v>
      </c>
      <c r="B363" s="49" t="s">
        <v>957</v>
      </c>
      <c r="C363" s="45">
        <f>RV_CCO_1_MaterialMU2</f>
        <v>0.2</v>
      </c>
    </row>
    <row r="364" spans="1:3" ht="12.75">
      <c r="A364" s="49" t="s">
        <v>958</v>
      </c>
      <c r="B364" s="49" t="s">
        <v>959</v>
      </c>
      <c r="C364" s="45">
        <f>RV_CCO_1_SubContractsMU</f>
        <v>0.6</v>
      </c>
    </row>
    <row r="365" spans="1:3" ht="12.75">
      <c r="A365" s="49" t="s">
        <v>960</v>
      </c>
      <c r="B365" s="49" t="s">
        <v>961</v>
      </c>
      <c r="C365" s="45">
        <f>RV_CCO_1_Tax1Rate</f>
        <v>0</v>
      </c>
    </row>
    <row r="366" spans="1:3" ht="12.75">
      <c r="A366" s="49" t="s">
        <v>962</v>
      </c>
      <c r="B366" s="49" t="s">
        <v>963</v>
      </c>
      <c r="C366" s="45">
        <f>RV_CCO_1_TaxRateBO</f>
        <v>0</v>
      </c>
    </row>
    <row r="367" spans="1:3" ht="12.75">
      <c r="A367" s="49" t="s">
        <v>964</v>
      </c>
      <c r="B367" s="49" t="s">
        <v>965</v>
      </c>
      <c r="C367" s="45">
        <f>RV_CCO_1_TaxRateLabor</f>
        <v>0</v>
      </c>
    </row>
    <row r="368" spans="1:3" ht="12.75">
      <c r="A368" s="49" t="s">
        <v>966</v>
      </c>
      <c r="B368" s="49" t="s">
        <v>967</v>
      </c>
      <c r="C368" s="45">
        <f>RV_CCO_1_TaxRateLabor2</f>
        <v>0</v>
      </c>
    </row>
    <row r="369" spans="1:3" ht="12.75">
      <c r="A369" s="49" t="s">
        <v>968</v>
      </c>
      <c r="B369" s="49" t="s">
        <v>969</v>
      </c>
      <c r="C369" s="45">
        <f>RV_CCO_1_TaxRateMaterial</f>
        <v>0</v>
      </c>
    </row>
    <row r="370" spans="1:3" ht="12.75">
      <c r="A370" s="49" t="s">
        <v>970</v>
      </c>
      <c r="B370" s="49" t="s">
        <v>971</v>
      </c>
      <c r="C370" s="45">
        <f>RV_CCO_1_TaxRateMaterial2</f>
        <v>0</v>
      </c>
    </row>
    <row r="371" spans="1:3" ht="12.75">
      <c r="A371" s="49" t="s">
        <v>972</v>
      </c>
      <c r="B371" s="49" t="s">
        <v>973</v>
      </c>
      <c r="C371" s="45">
        <f>RV_CCO_1_TaxRateProfit</f>
        <v>0</v>
      </c>
    </row>
    <row r="372" spans="1:3" ht="12.75">
      <c r="A372" s="49" t="s">
        <v>974</v>
      </c>
      <c r="B372" s="49" t="s">
        <v>975</v>
      </c>
      <c r="C372" s="45">
        <f>RV_Original_FeeMU</f>
        <v>0.5</v>
      </c>
    </row>
    <row r="373" spans="1:3" ht="12.75">
      <c r="A373" s="49" t="s">
        <v>976</v>
      </c>
      <c r="B373" s="49" t="s">
        <v>977</v>
      </c>
      <c r="C373" s="45">
        <f>RV_Original_LaborMU</f>
        <v>0.3</v>
      </c>
    </row>
    <row r="374" spans="1:3" ht="12.75">
      <c r="A374" s="49" t="s">
        <v>978</v>
      </c>
      <c r="B374" s="49" t="s">
        <v>979</v>
      </c>
      <c r="C374" s="45">
        <f>RV_Original_LaborMU2</f>
        <v>0.4</v>
      </c>
    </row>
    <row r="375" spans="1:3" ht="12.75">
      <c r="A375" s="49" t="s">
        <v>980</v>
      </c>
      <c r="B375" s="49" t="s">
        <v>981</v>
      </c>
      <c r="C375" s="45">
        <f>RV_Original_MaterialMU</f>
        <v>0.1</v>
      </c>
    </row>
    <row r="376" spans="1:3" ht="12.75">
      <c r="A376" s="49" t="s">
        <v>982</v>
      </c>
      <c r="B376" s="49" t="s">
        <v>983</v>
      </c>
      <c r="C376" s="45">
        <f>RV_Original_MaterialMU2</f>
        <v>0.2</v>
      </c>
    </row>
    <row r="377" spans="1:3" ht="12.75">
      <c r="A377" s="49" t="s">
        <v>984</v>
      </c>
      <c r="B377" s="49" t="s">
        <v>985</v>
      </c>
      <c r="C377" s="45">
        <f>RV_Original_SubContractsMU</f>
        <v>0.6</v>
      </c>
    </row>
    <row r="378" spans="1:3" ht="12.75">
      <c r="A378" s="49" t="s">
        <v>986</v>
      </c>
      <c r="B378" s="49" t="s">
        <v>987</v>
      </c>
      <c r="C378" s="45">
        <f>RV_Original_Tax1Rate</f>
        <v>0</v>
      </c>
    </row>
    <row r="379" spans="1:3" ht="12.75">
      <c r="A379" s="49" t="s">
        <v>988</v>
      </c>
      <c r="B379" s="49" t="s">
        <v>989</v>
      </c>
      <c r="C379" s="45">
        <f>RV_Original_TaxRateBO</f>
        <v>0</v>
      </c>
    </row>
    <row r="380" spans="1:3" ht="12.75">
      <c r="A380" s="49" t="s">
        <v>990</v>
      </c>
      <c r="B380" s="49" t="s">
        <v>991</v>
      </c>
      <c r="C380" s="45">
        <f>RV_Original_TaxRateLabor</f>
        <v>0</v>
      </c>
    </row>
    <row r="381" spans="1:3" ht="12.75">
      <c r="A381" s="49" t="s">
        <v>992</v>
      </c>
      <c r="B381" s="49" t="s">
        <v>993</v>
      </c>
      <c r="C381" s="45">
        <f>RV_Original_TaxRateLabor2</f>
        <v>0</v>
      </c>
    </row>
    <row r="382" spans="1:3" ht="12.75">
      <c r="A382" s="49" t="s">
        <v>994</v>
      </c>
      <c r="B382" s="49" t="s">
        <v>995</v>
      </c>
      <c r="C382" s="45">
        <f>RV_Original_TaxRateMaterial</f>
        <v>0</v>
      </c>
    </row>
    <row r="383" spans="1:3" ht="12.75">
      <c r="A383" s="49" t="s">
        <v>996</v>
      </c>
      <c r="B383" s="49" t="s">
        <v>997</v>
      </c>
      <c r="C383" s="45">
        <f>RV_Original_TaxRateMaterial2</f>
        <v>0</v>
      </c>
    </row>
    <row r="384" spans="1:3" ht="12.75">
      <c r="A384" s="49" t="s">
        <v>998</v>
      </c>
      <c r="B384" s="49" t="s">
        <v>999</v>
      </c>
      <c r="C384" s="45">
        <f>RV_Original_TaxRateProfit</f>
        <v>0</v>
      </c>
    </row>
    <row r="385" spans="1:3" ht="12.75">
      <c r="A385" s="49" t="s">
        <v>1000</v>
      </c>
      <c r="B385" s="49" t="s">
        <v>1001</v>
      </c>
      <c r="C385" s="45">
        <f>Tax_Amount</f>
        <v>0</v>
      </c>
    </row>
    <row r="386" spans="1:3" ht="12.75">
      <c r="A386" s="49" t="s">
        <v>1002</v>
      </c>
      <c r="B386" s="49" t="s">
        <v>1003</v>
      </c>
      <c r="C386" s="45">
        <f>TaxRateAllowance</f>
        <v>0</v>
      </c>
    </row>
    <row r="387" spans="1:3" ht="12.75">
      <c r="A387" s="49" t="s">
        <v>1004</v>
      </c>
      <c r="B387" s="49" t="s">
        <v>1005</v>
      </c>
      <c r="C387" s="45">
        <f>TaxRateBO</f>
        <v>0</v>
      </c>
    </row>
    <row r="388" spans="1:3" ht="12.75">
      <c r="A388" s="49" t="s">
        <v>1006</v>
      </c>
      <c r="B388" s="49" t="s">
        <v>1007</v>
      </c>
      <c r="C388" s="45">
        <f>TaxRateGC</f>
        <v>0</v>
      </c>
    </row>
    <row r="389" spans="1:3" ht="12.75">
      <c r="A389" s="49" t="s">
        <v>1008</v>
      </c>
      <c r="B389" s="49" t="s">
        <v>1009</v>
      </c>
      <c r="C389" s="45">
        <f>TaxRateLabor</f>
        <v>0</v>
      </c>
    </row>
    <row r="390" spans="1:3" ht="12.75">
      <c r="A390" s="49" t="s">
        <v>1010</v>
      </c>
      <c r="B390" s="49" t="s">
        <v>1011</v>
      </c>
      <c r="C390" s="45">
        <f>TaxRateLabor2</f>
        <v>0</v>
      </c>
    </row>
    <row r="391" spans="1:3" ht="12.75">
      <c r="A391" s="49" t="s">
        <v>1012</v>
      </c>
      <c r="B391" s="49" t="s">
        <v>1013</v>
      </c>
      <c r="C391" s="45">
        <f>TaxRateMaterial</f>
        <v>0</v>
      </c>
    </row>
    <row r="392" spans="1:3" ht="12.75">
      <c r="A392" s="49" t="s">
        <v>1014</v>
      </c>
      <c r="B392" s="49" t="s">
        <v>1015</v>
      </c>
      <c r="C392" s="45">
        <f>TaxRateMaterial2</f>
        <v>0</v>
      </c>
    </row>
    <row r="393" spans="1:3" ht="12.75">
      <c r="A393" s="49" t="s">
        <v>1016</v>
      </c>
      <c r="B393" s="49" t="s">
        <v>1017</v>
      </c>
      <c r="C393" s="45">
        <f>TaxRateProfit</f>
        <v>0</v>
      </c>
    </row>
    <row r="394" spans="1:3" ht="12.75">
      <c r="A394" s="49" t="s">
        <v>1018</v>
      </c>
      <c r="B394" s="49" t="s">
        <v>1019</v>
      </c>
      <c r="C394" s="45">
        <f>TK_FeeMU</f>
        <v>0.5</v>
      </c>
    </row>
    <row r="395" spans="1:3" ht="12.75">
      <c r="A395" s="49" t="s">
        <v>1020</v>
      </c>
      <c r="B395" s="49" t="s">
        <v>1021</v>
      </c>
      <c r="C395" s="45">
        <f>TK_LaborMU</f>
        <v>0.3</v>
      </c>
    </row>
    <row r="396" spans="1:3" ht="12.75">
      <c r="A396" s="49" t="s">
        <v>1022</v>
      </c>
      <c r="B396" s="49" t="s">
        <v>1023</v>
      </c>
      <c r="C396" s="45">
        <f>TK_LaborMU2</f>
        <v>0.4</v>
      </c>
    </row>
    <row r="397" spans="1:3" ht="12.75">
      <c r="A397" s="49" t="s">
        <v>1024</v>
      </c>
      <c r="B397" s="49" t="s">
        <v>1025</v>
      </c>
      <c r="C397" s="45">
        <f>TK_MaterialMU</f>
        <v>0.1</v>
      </c>
    </row>
    <row r="398" spans="1:3" ht="12.75">
      <c r="A398" s="49" t="s">
        <v>1026</v>
      </c>
      <c r="B398" s="49" t="s">
        <v>1027</v>
      </c>
      <c r="C398" s="45">
        <f>TK_MaterialMU2</f>
        <v>0.2</v>
      </c>
    </row>
    <row r="399" spans="1:3" ht="12.75">
      <c r="A399" s="49" t="s">
        <v>1028</v>
      </c>
      <c r="B399" s="49" t="s">
        <v>1029</v>
      </c>
      <c r="C399" s="45">
        <f>TK_SubContractsMU</f>
        <v>0.6</v>
      </c>
    </row>
    <row r="400" spans="1:3" ht="12.75">
      <c r="A400" s="49" t="s">
        <v>1030</v>
      </c>
      <c r="B400" s="49" t="s">
        <v>1031</v>
      </c>
      <c r="C400" s="45">
        <f>TK_Tax1Rate</f>
        <v>0</v>
      </c>
    </row>
    <row r="401" spans="1:3" ht="12.75">
      <c r="A401" s="49" t="s">
        <v>1032</v>
      </c>
      <c r="B401" s="49" t="s">
        <v>1033</v>
      </c>
      <c r="C401" s="45">
        <f>TK_TaxRateBO</f>
        <v>0</v>
      </c>
    </row>
    <row r="402" spans="1:3" ht="12.75">
      <c r="A402" s="49" t="s">
        <v>1034</v>
      </c>
      <c r="B402" s="49" t="s">
        <v>1035</v>
      </c>
      <c r="C402" s="45">
        <f>TK_TaxRateLabor</f>
        <v>0</v>
      </c>
    </row>
    <row r="403" spans="1:3" ht="12.75">
      <c r="A403" s="49" t="s">
        <v>1036</v>
      </c>
      <c r="B403" s="49" t="s">
        <v>1037</v>
      </c>
      <c r="C403" s="45">
        <f>TK_TaxRateLabor2</f>
        <v>0</v>
      </c>
    </row>
    <row r="404" spans="1:3" ht="12.75">
      <c r="A404" s="49" t="s">
        <v>1038</v>
      </c>
      <c r="B404" s="49" t="s">
        <v>1039</v>
      </c>
      <c r="C404" s="45">
        <f>TK_TaxRateMaterial</f>
        <v>0</v>
      </c>
    </row>
    <row r="405" spans="1:3" ht="12.75">
      <c r="A405" s="49" t="s">
        <v>1040</v>
      </c>
      <c r="B405" s="49" t="s">
        <v>1041</v>
      </c>
      <c r="C405" s="45">
        <f>TK_TaxRateMaterial2</f>
        <v>0</v>
      </c>
    </row>
    <row r="406" spans="1:3" ht="12.75">
      <c r="A406" s="49" t="s">
        <v>1042</v>
      </c>
      <c r="B406" s="49" t="s">
        <v>1043</v>
      </c>
      <c r="C406" s="45">
        <f>TK_TaxRateProfit</f>
        <v>0</v>
      </c>
    </row>
    <row r="407" spans="1:3" ht="12.75">
      <c r="A407" s="49" t="s">
        <v>82</v>
      </c>
      <c r="B407" s="49" t="s">
        <v>105</v>
      </c>
      <c r="C407" s="45">
        <f>Total_Allowances</f>
        <v>750</v>
      </c>
    </row>
    <row r="408" spans="1:3" ht="12.75">
      <c r="A408" s="49" t="s">
        <v>84</v>
      </c>
      <c r="B408" s="49" t="s">
        <v>85</v>
      </c>
      <c r="C408" s="45">
        <f>Total_FeeMU</f>
        <v>0.5</v>
      </c>
    </row>
    <row r="409" spans="1:3" ht="12.75">
      <c r="A409" s="49" t="s">
        <v>172</v>
      </c>
      <c r="B409" s="49" t="s">
        <v>83</v>
      </c>
      <c r="C409" s="45">
        <f>Total_GC</f>
        <v>0</v>
      </c>
    </row>
    <row r="410" spans="1:3" ht="12.75">
      <c r="A410" s="49" t="s">
        <v>173</v>
      </c>
      <c r="B410" s="49" t="s">
        <v>99</v>
      </c>
      <c r="C410" s="45">
        <f>Total_LaborCost</f>
        <v>1302.71523347222</v>
      </c>
    </row>
    <row r="411" spans="1:3" ht="12.75">
      <c r="A411" s="49" t="s">
        <v>87</v>
      </c>
      <c r="B411" s="49" t="s">
        <v>86</v>
      </c>
      <c r="C411" s="45">
        <f>Total_LaborCost2</f>
        <v>4250.3334</v>
      </c>
    </row>
    <row r="412" spans="1:3" ht="12.75">
      <c r="A412" s="49" t="s">
        <v>89</v>
      </c>
      <c r="B412" s="49" t="s">
        <v>90</v>
      </c>
      <c r="C412" s="45">
        <f>Total_LaborMU</f>
        <v>0.3</v>
      </c>
    </row>
    <row r="413" spans="1:3" ht="12.75">
      <c r="A413" s="49" t="s">
        <v>91</v>
      </c>
      <c r="B413" s="49" t="s">
        <v>92</v>
      </c>
      <c r="C413" s="45">
        <f>Total_LaborMU2</f>
        <v>0.4</v>
      </c>
    </row>
    <row r="414" spans="1:3" ht="12.75">
      <c r="A414" s="49" t="s">
        <v>93</v>
      </c>
      <c r="B414" s="49" t="s">
        <v>88</v>
      </c>
      <c r="C414" s="45">
        <f>Total_LaborQty1</f>
        <v>65.1357616736111</v>
      </c>
    </row>
    <row r="415" spans="1:3" ht="12.75">
      <c r="A415" s="49" t="s">
        <v>95</v>
      </c>
      <c r="B415" s="49" t="s">
        <v>94</v>
      </c>
      <c r="C415" s="45">
        <f>Total_LaborQty2</f>
        <v>106.258333333333</v>
      </c>
    </row>
    <row r="416" spans="1:3" ht="12.75">
      <c r="A416" s="49" t="s">
        <v>174</v>
      </c>
      <c r="B416" s="49" t="s">
        <v>57</v>
      </c>
      <c r="C416" s="45">
        <f>Total_LaborSell</f>
        <v>2540.294705270829</v>
      </c>
    </row>
    <row r="417" spans="1:3" ht="12.75">
      <c r="A417" s="49" t="s">
        <v>176</v>
      </c>
      <c r="B417" s="49" t="s">
        <v>59</v>
      </c>
      <c r="C417" s="45">
        <f>Total_LaborSell2</f>
        <v>8925.70014</v>
      </c>
    </row>
    <row r="418" spans="1:3" ht="12.75">
      <c r="A418" s="49" t="s">
        <v>177</v>
      </c>
      <c r="B418" s="49" t="s">
        <v>80</v>
      </c>
      <c r="C418" s="45">
        <f>Total_MaterialCost</f>
        <v>4485.53956974296</v>
      </c>
    </row>
    <row r="419" spans="1:3" ht="12.75">
      <c r="A419" s="49" t="s">
        <v>98</v>
      </c>
      <c r="B419" s="49" t="s">
        <v>97</v>
      </c>
      <c r="C419" s="45">
        <f>Total_MaterialCost2</f>
        <v>1000</v>
      </c>
    </row>
    <row r="420" spans="1:3" ht="12.75">
      <c r="A420" s="49" t="s">
        <v>100</v>
      </c>
      <c r="B420" s="49" t="s">
        <v>101</v>
      </c>
      <c r="C420" s="45">
        <f>Total_MaterialMU</f>
        <v>0.1</v>
      </c>
    </row>
    <row r="421" spans="1:3" ht="12.75">
      <c r="A421" s="49" t="s">
        <v>102</v>
      </c>
      <c r="B421" s="49" t="s">
        <v>103</v>
      </c>
      <c r="C421" s="45">
        <f>Total_MaterialMU2</f>
        <v>0.2</v>
      </c>
    </row>
    <row r="422" spans="1:3" ht="12.75">
      <c r="A422" s="49" t="s">
        <v>178</v>
      </c>
      <c r="B422" s="49" t="s">
        <v>180</v>
      </c>
      <c r="C422" s="45">
        <f>Total_MaterialSell</f>
        <v>7401.140290075886</v>
      </c>
    </row>
    <row r="423" spans="1:3" ht="12.75">
      <c r="A423" s="49" t="s">
        <v>179</v>
      </c>
      <c r="B423" s="49" t="s">
        <v>175</v>
      </c>
      <c r="C423" s="45">
        <f>Total_MaterialSell2</f>
        <v>1800</v>
      </c>
    </row>
    <row r="424" spans="1:3" ht="12.75">
      <c r="A424" s="49" t="s">
        <v>181</v>
      </c>
      <c r="B424" s="49" t="s">
        <v>1044</v>
      </c>
      <c r="C424" s="45">
        <f>Total_SimpleSell</f>
        <v>20667.135135346718</v>
      </c>
    </row>
    <row r="425" spans="1:3" ht="12.75">
      <c r="A425" s="49" t="s">
        <v>104</v>
      </c>
      <c r="B425" s="49" t="s">
        <v>96</v>
      </c>
      <c r="C425" s="45">
        <f>Total_SubContracts</f>
        <v>450</v>
      </c>
    </row>
    <row r="426" spans="1:3" ht="12.75">
      <c r="A426" s="49" t="s">
        <v>106</v>
      </c>
      <c r="B426" s="49" t="s">
        <v>107</v>
      </c>
      <c r="C426" s="45">
        <f>Total_SubContractsMU</f>
        <v>0.6</v>
      </c>
    </row>
    <row r="427" spans="1:3" ht="12.75">
      <c r="A427" s="49" t="s">
        <v>182</v>
      </c>
      <c r="B427" s="49" t="s">
        <v>183</v>
      </c>
      <c r="C427" s="45">
        <f>Total_Tax1Rate</f>
        <v>0</v>
      </c>
    </row>
  </sheetData>
  <printOptions/>
  <pageMargins left="0.75" right="0.75" top="1" bottom="1" header="0.5" footer="0.5"/>
  <pageSetup fitToHeight="0" fitToWidth="1" horizontalDpi="600" verticalDpi="600" orientation="landscape" r:id="rId1"/>
  <headerFooter alignWithMargins="0">
    <oddHeader>&amp;LStarlight Jewellers&amp;CRange Names&amp;R&amp;P/&amp;N</oddHeader>
    <oddFooter>&amp;LCompany&amp;RWednesday, November 5,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 topLeftCell="A1">
      <selection activeCell="A10" sqref="A10"/>
    </sheetView>
  </sheetViews>
  <sheetFormatPr defaultColWidth="9.140625" defaultRowHeight="12.75" outlineLevelRow="1" outlineLevelCol="1"/>
  <cols>
    <col min="1" max="1" width="24.8515625" style="0" bestFit="1" customWidth="1"/>
    <col min="2" max="2" width="6.8515625" style="0" bestFit="1" customWidth="1"/>
    <col min="3" max="3" width="5.28125" style="0" bestFit="1" customWidth="1"/>
    <col min="4" max="4" width="21.00390625" style="0" bestFit="1" customWidth="1"/>
    <col min="5" max="5" width="12.57421875" style="0" bestFit="1" customWidth="1" outlineLevel="1"/>
    <col min="6" max="6" width="30.28125" style="0" bestFit="1" customWidth="1" outlineLevel="1"/>
    <col min="7" max="7" width="21.140625" style="0" bestFit="1" customWidth="1" outlineLevel="1"/>
    <col min="8" max="8" width="17.7109375" style="0" bestFit="1" customWidth="1" outlineLevel="1"/>
    <col min="9" max="9" width="18.00390625" style="0" bestFit="1" customWidth="1"/>
    <col min="10" max="10" width="8.14062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57421875" style="0" bestFit="1" customWidth="1" outlineLevel="1"/>
    <col min="17" max="18" width="9.7109375" style="0" bestFit="1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195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2:22" ht="12.75">
      <c r="B11" s="64" t="s">
        <v>196</v>
      </c>
      <c r="C11" s="64" t="s">
        <v>197</v>
      </c>
      <c r="D11" s="64" t="s">
        <v>198</v>
      </c>
      <c r="E11" s="64" t="s">
        <v>199</v>
      </c>
      <c r="F11" s="64" t="s">
        <v>200</v>
      </c>
      <c r="G11" s="64" t="s">
        <v>201</v>
      </c>
      <c r="H11" s="64" t="s">
        <v>202</v>
      </c>
      <c r="I11" s="64" t="s">
        <v>203</v>
      </c>
      <c r="J11" s="69" t="s">
        <v>204</v>
      </c>
      <c r="K11" s="74" t="s">
        <v>205</v>
      </c>
      <c r="L11" s="74" t="s">
        <v>206</v>
      </c>
      <c r="M11" s="69" t="s">
        <v>207</v>
      </c>
      <c r="N11" s="74" t="s">
        <v>208</v>
      </c>
      <c r="O11" s="74" t="s">
        <v>209</v>
      </c>
      <c r="P11" s="69" t="s">
        <v>210</v>
      </c>
      <c r="Q11" s="74" t="s">
        <v>14</v>
      </c>
      <c r="R11" s="74" t="s">
        <v>12</v>
      </c>
      <c r="S11" s="74" t="s">
        <v>211</v>
      </c>
      <c r="T11" s="74" t="s">
        <v>212</v>
      </c>
      <c r="U11" s="74" t="s">
        <v>3</v>
      </c>
      <c r="V11" s="74" t="s">
        <v>213</v>
      </c>
    </row>
    <row r="12" spans="2:22" ht="12.75" outlineLevel="1">
      <c r="B12" s="65">
        <v>1</v>
      </c>
      <c r="C12" s="65">
        <v>700</v>
      </c>
      <c r="D12" s="65" t="s">
        <v>214</v>
      </c>
      <c r="E12" s="65" t="s">
        <v>215</v>
      </c>
      <c r="F12" s="65" t="s">
        <v>216</v>
      </c>
      <c r="G12" s="65"/>
      <c r="H12" s="65" t="s">
        <v>217</v>
      </c>
      <c r="I12" s="65" t="s">
        <v>218</v>
      </c>
      <c r="J12" s="70">
        <v>840</v>
      </c>
      <c r="K12" s="75">
        <v>1050</v>
      </c>
      <c r="L12" s="75">
        <v>0</v>
      </c>
      <c r="M12" s="70">
        <v>0</v>
      </c>
      <c r="N12" s="75">
        <v>0</v>
      </c>
      <c r="O12" s="75">
        <v>2800</v>
      </c>
      <c r="P12" s="70">
        <v>70</v>
      </c>
      <c r="Q12" s="75">
        <f>K12*TK_MaterialMU+L12*TK_LaborMU+N12*TK_MaterialMU2+O12*TK_LaborMU2</f>
        <v>1225</v>
      </c>
      <c r="R12" s="75">
        <f>(K12+L12+N12+O12+Q12)*TK_FeeMU</f>
        <v>2537.5</v>
      </c>
      <c r="S12" s="75">
        <f>SUM(K12+L12+N12+O12+Q12+R12)</f>
        <v>7612.5</v>
      </c>
      <c r="T12" s="75">
        <f>IF(Total_SimpleSell=0,0,S12/Total_SimpleSell*Total_GC)</f>
        <v>0</v>
      </c>
      <c r="U12" s="75">
        <f>(K12*(TK_MaterialMU+1)*TK_TaxRateMaterial+L12*(TK_LaborMU+1)*TK_TaxRateLabor+N12*(TK_MaterialMU2+1)*TK_TaxRateMaterial2+O12*(TK_LaborMU2+1)*TK_TaxRateLabor2+R12*TK_TaxRateProfit+T12*TaxRateGC)</f>
        <v>0</v>
      </c>
      <c r="V12" s="75">
        <f>SUM(S12+T12+U12)</f>
        <v>7612.5</v>
      </c>
    </row>
    <row r="13" spans="2:22" ht="12.75">
      <c r="B13" s="66"/>
      <c r="C13" s="66">
        <f>SUBTOTAL(9,C12:C12)</f>
        <v>700</v>
      </c>
      <c r="D13" s="66"/>
      <c r="E13" s="66"/>
      <c r="F13" s="66"/>
      <c r="G13" s="66"/>
      <c r="H13" s="66"/>
      <c r="I13" s="66"/>
      <c r="J13" s="71">
        <f>SUBTOTAL(9,J12:J12)</f>
        <v>840</v>
      </c>
      <c r="K13" s="76">
        <f>SUBTOTAL(9,K12:K12)</f>
        <v>1050</v>
      </c>
      <c r="L13" s="76">
        <f>SUBTOTAL(9,L12:L12)</f>
        <v>0</v>
      </c>
      <c r="M13" s="71">
        <f>SUBTOTAL(9,M12:M12)</f>
        <v>0</v>
      </c>
      <c r="N13" s="76">
        <f>SUBTOTAL(9,N12:N12)</f>
        <v>0</v>
      </c>
      <c r="O13" s="76">
        <f>SUBTOTAL(9,O12:O12)</f>
        <v>2800</v>
      </c>
      <c r="P13" s="71">
        <f>SUBTOTAL(9,P12:P12)</f>
        <v>70</v>
      </c>
      <c r="Q13" s="76">
        <f>SUBTOTAL(9,Q12:Q12)</f>
        <v>1225</v>
      </c>
      <c r="R13" s="76">
        <f>SUBTOTAL(9,R12:R12)</f>
        <v>2537.5</v>
      </c>
      <c r="S13" s="76">
        <f>SUBTOTAL(9,S12:S12)</f>
        <v>7612.5</v>
      </c>
      <c r="T13" s="76">
        <f>SUBTOTAL(9,T12:T12)</f>
        <v>0</v>
      </c>
      <c r="U13" s="76">
        <f>SUBTOTAL(9,U12:U12)</f>
        <v>0</v>
      </c>
      <c r="V13" s="76">
        <f>SUBTOTAL(9,V12:V12)</f>
        <v>7612.5</v>
      </c>
    </row>
    <row r="14" spans="1:22" ht="15.75">
      <c r="A14" s="63" t="s">
        <v>219</v>
      </c>
      <c r="J14" s="45"/>
      <c r="K14" s="73"/>
      <c r="L14" s="73"/>
      <c r="M14" s="45"/>
      <c r="N14" s="73"/>
      <c r="O14" s="73"/>
      <c r="P14" s="45"/>
      <c r="Q14" s="73"/>
      <c r="R14" s="73"/>
      <c r="S14" s="73"/>
      <c r="T14" s="73"/>
      <c r="U14" s="73"/>
      <c r="V14" s="73"/>
    </row>
    <row r="15" spans="2:22" ht="12.75">
      <c r="B15" s="64" t="s">
        <v>196</v>
      </c>
      <c r="C15" s="64" t="s">
        <v>197</v>
      </c>
      <c r="D15" s="64" t="s">
        <v>198</v>
      </c>
      <c r="E15" s="64" t="s">
        <v>199</v>
      </c>
      <c r="F15" s="64" t="s">
        <v>200</v>
      </c>
      <c r="G15" s="64" t="s">
        <v>201</v>
      </c>
      <c r="H15" s="64" t="s">
        <v>202</v>
      </c>
      <c r="I15" s="64" t="s">
        <v>203</v>
      </c>
      <c r="J15" s="69" t="s">
        <v>204</v>
      </c>
      <c r="K15" s="74" t="s">
        <v>205</v>
      </c>
      <c r="L15" s="74" t="s">
        <v>206</v>
      </c>
      <c r="M15" s="69" t="s">
        <v>207</v>
      </c>
      <c r="N15" s="74" t="s">
        <v>208</v>
      </c>
      <c r="O15" s="74" t="s">
        <v>209</v>
      </c>
      <c r="P15" s="69" t="s">
        <v>210</v>
      </c>
      <c r="Q15" s="74" t="s">
        <v>14</v>
      </c>
      <c r="R15" s="74" t="s">
        <v>12</v>
      </c>
      <c r="S15" s="74" t="s">
        <v>211</v>
      </c>
      <c r="T15" s="74" t="s">
        <v>212</v>
      </c>
      <c r="U15" s="74" t="s">
        <v>3</v>
      </c>
      <c r="V15" s="74" t="s">
        <v>213</v>
      </c>
    </row>
    <row r="16" spans="2:22" ht="12.75" outlineLevel="1">
      <c r="B16" s="65">
        <v>2</v>
      </c>
      <c r="C16" s="65">
        <v>2</v>
      </c>
      <c r="D16" s="65" t="s">
        <v>220</v>
      </c>
      <c r="E16" s="65" t="s">
        <v>221</v>
      </c>
      <c r="F16" s="65" t="s">
        <v>222</v>
      </c>
      <c r="G16" s="65"/>
      <c r="H16" s="65" t="s">
        <v>217</v>
      </c>
      <c r="I16" s="65" t="s">
        <v>223</v>
      </c>
      <c r="J16" s="70">
        <v>186.7</v>
      </c>
      <c r="K16" s="75">
        <v>352.2682</v>
      </c>
      <c r="L16" s="75">
        <v>147.3417</v>
      </c>
      <c r="M16" s="70">
        <v>7.367084</v>
      </c>
      <c r="N16" s="75">
        <v>0</v>
      </c>
      <c r="O16" s="75">
        <v>40</v>
      </c>
      <c r="P16" s="70">
        <v>1</v>
      </c>
      <c r="Q16" s="75">
        <f>K16*TK_MaterialMU+L16*TK_LaborMU+N16*TK_MaterialMU2+O16*TK_LaborMU2</f>
        <v>95.42933</v>
      </c>
      <c r="R16" s="75">
        <f>(K16+L16+N16+O16+Q16)*TK_FeeMU</f>
        <v>317.51961499999993</v>
      </c>
      <c r="S16" s="75">
        <f>SUM(K16+L16+N16+O16+Q16+R16)</f>
        <v>952.5588449999998</v>
      </c>
      <c r="T16" s="75">
        <f>IF(Total_SimpleSell=0,0,S16/Total_SimpleSell*Total_GC)</f>
        <v>0</v>
      </c>
      <c r="U16" s="75">
        <f>(K16*(TK_MaterialMU+1)*TK_TaxRateMaterial+L16*(TK_LaborMU+1)*TK_TaxRateLabor+N16*(TK_MaterialMU2+1)*TK_TaxRateMaterial2+O16*(TK_LaborMU2+1)*TK_TaxRateLabor2+R16*TK_TaxRateProfit+T16*TaxRateGC)</f>
        <v>0</v>
      </c>
      <c r="V16" s="75">
        <f>SUM(S16+T16+U16)</f>
        <v>952.5588449999998</v>
      </c>
    </row>
    <row r="17" spans="2:22" ht="12.75" outlineLevel="1">
      <c r="B17" s="65">
        <v>3</v>
      </c>
      <c r="C17" s="65">
        <v>1</v>
      </c>
      <c r="D17" s="65" t="s">
        <v>224</v>
      </c>
      <c r="E17" s="65" t="s">
        <v>225</v>
      </c>
      <c r="F17" s="65" t="s">
        <v>222</v>
      </c>
      <c r="G17" s="65"/>
      <c r="H17" s="65" t="s">
        <v>217</v>
      </c>
      <c r="I17" s="65" t="s">
        <v>223</v>
      </c>
      <c r="J17" s="70">
        <v>84.09166666666668</v>
      </c>
      <c r="K17" s="75">
        <v>148.6339</v>
      </c>
      <c r="L17" s="75">
        <v>55.8213</v>
      </c>
      <c r="M17" s="70">
        <v>2.7910647500000003</v>
      </c>
      <c r="N17" s="75">
        <v>0</v>
      </c>
      <c r="O17" s="75">
        <v>20</v>
      </c>
      <c r="P17" s="70">
        <v>0.5</v>
      </c>
      <c r="Q17" s="75">
        <f>K17*TK_MaterialMU+L17*TK_LaborMU+N17*TK_MaterialMU2+O17*TK_LaborMU2</f>
        <v>39.60978</v>
      </c>
      <c r="R17" s="75">
        <f>(K17+L17+N17+O17+Q17)*TK_FeeMU</f>
        <v>132.03249</v>
      </c>
      <c r="S17" s="75">
        <f>SUM(K17+L17+N17+O17+Q17+R17)</f>
        <v>396.09747</v>
      </c>
      <c r="T17" s="75">
        <f>IF(Total_SimpleSell=0,0,S17/Total_SimpleSell*Total_GC)</f>
        <v>0</v>
      </c>
      <c r="U17" s="75">
        <f>(K17*(TK_MaterialMU+1)*TK_TaxRateMaterial+L17*(TK_LaborMU+1)*TK_TaxRateLabor+N17*(TK_MaterialMU2+1)*TK_TaxRateMaterial2+O17*(TK_LaborMU2+1)*TK_TaxRateLabor2+R17*TK_TaxRateProfit+T17*TaxRateGC)</f>
        <v>0</v>
      </c>
      <c r="V17" s="75">
        <f>SUM(S17+T17+U17)</f>
        <v>396.09747</v>
      </c>
    </row>
    <row r="18" spans="2:22" ht="12.75" outlineLevel="1">
      <c r="B18" s="65">
        <v>4</v>
      </c>
      <c r="C18" s="65">
        <v>2</v>
      </c>
      <c r="D18" s="65" t="s">
        <v>224</v>
      </c>
      <c r="E18" s="65" t="s">
        <v>225</v>
      </c>
      <c r="F18" s="65" t="s">
        <v>222</v>
      </c>
      <c r="G18" s="65"/>
      <c r="H18" s="65" t="s">
        <v>217</v>
      </c>
      <c r="I18" s="65" t="s">
        <v>223</v>
      </c>
      <c r="J18" s="70">
        <v>153.98333333333335</v>
      </c>
      <c r="K18" s="75">
        <v>289.9408</v>
      </c>
      <c r="L18" s="75">
        <v>107.8248</v>
      </c>
      <c r="M18" s="70">
        <v>5.391239500000002</v>
      </c>
      <c r="N18" s="75">
        <v>0</v>
      </c>
      <c r="O18" s="75">
        <v>40</v>
      </c>
      <c r="P18" s="70">
        <v>1</v>
      </c>
      <c r="Q18" s="75">
        <f>K18*TK_MaterialMU+L18*TK_LaborMU+N18*TK_MaterialMU2+O18*TK_LaborMU2</f>
        <v>77.34152</v>
      </c>
      <c r="R18" s="75">
        <f>(K18+L18+N18+O18+Q18)*TK_FeeMU</f>
        <v>257.55356</v>
      </c>
      <c r="S18" s="75">
        <f>SUM(K18+L18+N18+O18+Q18+R18)</f>
        <v>772.66068</v>
      </c>
      <c r="T18" s="75">
        <f>IF(Total_SimpleSell=0,0,S18/Total_SimpleSell*Total_GC)</f>
        <v>0</v>
      </c>
      <c r="U18" s="75">
        <f>(K18*(TK_MaterialMU+1)*TK_TaxRateMaterial+L18*(TK_LaborMU+1)*TK_TaxRateLabor+N18*(TK_MaterialMU2+1)*TK_TaxRateMaterial2+O18*(TK_LaborMU2+1)*TK_TaxRateLabor2+R18*TK_TaxRateProfit+T18*TaxRateGC)</f>
        <v>0</v>
      </c>
      <c r="V18" s="75">
        <f>SUM(S18+T18+U18)</f>
        <v>772.66068</v>
      </c>
    </row>
    <row r="19" spans="2:22" ht="12.75" outlineLevel="1">
      <c r="B19" s="65">
        <v>5</v>
      </c>
      <c r="C19" s="65">
        <v>1</v>
      </c>
      <c r="D19" s="65" t="s">
        <v>224</v>
      </c>
      <c r="E19" s="65" t="s">
        <v>225</v>
      </c>
      <c r="F19" s="65" t="s">
        <v>222</v>
      </c>
      <c r="G19" s="65"/>
      <c r="H19" s="65" t="s">
        <v>217</v>
      </c>
      <c r="I19" s="65" t="s">
        <v>223</v>
      </c>
      <c r="J19" s="70">
        <v>84.09166666666668</v>
      </c>
      <c r="K19" s="75">
        <v>148.6339</v>
      </c>
      <c r="L19" s="75">
        <v>55.8213</v>
      </c>
      <c r="M19" s="70">
        <v>2.7910647500000003</v>
      </c>
      <c r="N19" s="75">
        <v>0</v>
      </c>
      <c r="O19" s="75">
        <v>20</v>
      </c>
      <c r="P19" s="70">
        <v>0.5</v>
      </c>
      <c r="Q19" s="75">
        <f>K19*TK_MaterialMU+L19*TK_LaborMU+N19*TK_MaterialMU2+O19*TK_LaborMU2</f>
        <v>39.60978</v>
      </c>
      <c r="R19" s="75">
        <f>(K19+L19+N19+O19+Q19)*TK_FeeMU</f>
        <v>132.03249</v>
      </c>
      <c r="S19" s="75">
        <f>SUM(K19+L19+N19+O19+Q19+R19)</f>
        <v>396.09747</v>
      </c>
      <c r="T19" s="75">
        <f>IF(Total_SimpleSell=0,0,S19/Total_SimpleSell*Total_GC)</f>
        <v>0</v>
      </c>
      <c r="U19" s="75">
        <f>(K19*(TK_MaterialMU+1)*TK_TaxRateMaterial+L19*(TK_LaborMU+1)*TK_TaxRateLabor+N19*(TK_MaterialMU2+1)*TK_TaxRateMaterial2+O19*(TK_LaborMU2+1)*TK_TaxRateLabor2+R19*TK_TaxRateProfit+T19*TaxRateGC)</f>
        <v>0</v>
      </c>
      <c r="V19" s="75">
        <f>SUM(S19+T19+U19)</f>
        <v>396.09747</v>
      </c>
    </row>
    <row r="20" spans="2:22" ht="12.75" outlineLevel="1">
      <c r="B20" s="65">
        <v>6</v>
      </c>
      <c r="C20" s="65">
        <v>1</v>
      </c>
      <c r="D20" s="65" t="s">
        <v>226</v>
      </c>
      <c r="E20" s="65" t="s">
        <v>227</v>
      </c>
      <c r="F20" s="65" t="s">
        <v>222</v>
      </c>
      <c r="G20" s="65" t="s">
        <v>228</v>
      </c>
      <c r="H20" s="65" t="s">
        <v>217</v>
      </c>
      <c r="I20" s="65" t="s">
        <v>223</v>
      </c>
      <c r="J20" s="70">
        <v>24.4</v>
      </c>
      <c r="K20" s="75">
        <v>31.4259</v>
      </c>
      <c r="L20" s="75">
        <v>3.4261</v>
      </c>
      <c r="M20" s="70">
        <v>0.171304</v>
      </c>
      <c r="N20" s="75">
        <v>0</v>
      </c>
      <c r="O20" s="75">
        <v>0</v>
      </c>
      <c r="P20" s="70">
        <v>0</v>
      </c>
      <c r="Q20" s="75">
        <f>K20*TK_MaterialMU+L20*TK_LaborMU+N20*TK_MaterialMU2+O20*TK_LaborMU2</f>
        <v>4.17042</v>
      </c>
      <c r="R20" s="75">
        <f>(K20+L20+N20+O20+Q20)*TK_FeeMU</f>
        <v>19.51121</v>
      </c>
      <c r="S20" s="75">
        <f>SUM(K20+L20+N20+O20+Q20+R20)</f>
        <v>58.533629999999995</v>
      </c>
      <c r="T20" s="75">
        <f>IF(Total_SimpleSell=0,0,S20/Total_SimpleSell*Total_GC)</f>
        <v>0</v>
      </c>
      <c r="U20" s="75">
        <f>(K20*(TK_MaterialMU+1)*TK_TaxRateMaterial+L20*(TK_LaborMU+1)*TK_TaxRateLabor+N20*(TK_MaterialMU2+1)*TK_TaxRateMaterial2+O20*(TK_LaborMU2+1)*TK_TaxRateLabor2+R20*TK_TaxRateProfit+T20*TaxRateGC)</f>
        <v>0</v>
      </c>
      <c r="V20" s="75">
        <f>SUM(S20+T20+U20)</f>
        <v>58.533629999999995</v>
      </c>
    </row>
    <row r="21" spans="2:22" ht="12.75" outlineLevel="1">
      <c r="B21" s="65">
        <v>7</v>
      </c>
      <c r="C21" s="65">
        <v>1</v>
      </c>
      <c r="D21" s="65" t="s">
        <v>229</v>
      </c>
      <c r="E21" s="65" t="s">
        <v>230</v>
      </c>
      <c r="F21" s="65" t="s">
        <v>216</v>
      </c>
      <c r="G21" s="65"/>
      <c r="H21" s="65" t="s">
        <v>217</v>
      </c>
      <c r="I21" s="65" t="s">
        <v>223</v>
      </c>
      <c r="J21" s="70">
        <v>43.617749999999994</v>
      </c>
      <c r="K21" s="75">
        <v>49.8059</v>
      </c>
      <c r="L21" s="75">
        <v>24.9107</v>
      </c>
      <c r="M21" s="70">
        <v>1.245534125</v>
      </c>
      <c r="N21" s="75">
        <v>0</v>
      </c>
      <c r="O21" s="75">
        <v>10</v>
      </c>
      <c r="P21" s="70">
        <v>0.25</v>
      </c>
      <c r="Q21" s="75">
        <f>K21*TK_MaterialMU+L21*TK_LaborMU+N21*TK_MaterialMU2+O21*TK_LaborMU2</f>
        <v>16.4538</v>
      </c>
      <c r="R21" s="75">
        <f>(K21+L21+N21+O21+Q21)*TK_FeeMU</f>
        <v>50.5852</v>
      </c>
      <c r="S21" s="75">
        <f>SUM(K21+L21+N21+O21+Q21+R21)</f>
        <v>151.75560000000002</v>
      </c>
      <c r="T21" s="75">
        <f>IF(Total_SimpleSell=0,0,S21/Total_SimpleSell*Total_GC)</f>
        <v>0</v>
      </c>
      <c r="U21" s="75">
        <f>(K21*(TK_MaterialMU+1)*TK_TaxRateMaterial+L21*(TK_LaborMU+1)*TK_TaxRateLabor+N21*(TK_MaterialMU2+1)*TK_TaxRateMaterial2+O21*(TK_LaborMU2+1)*TK_TaxRateLabor2+R21*TK_TaxRateProfit+T21*TaxRateGC)</f>
        <v>0</v>
      </c>
      <c r="V21" s="75">
        <f>SUM(S21+T21+U21)</f>
        <v>151.75560000000002</v>
      </c>
    </row>
    <row r="22" spans="2:22" ht="12.75" outlineLevel="1">
      <c r="B22" s="65">
        <v>8</v>
      </c>
      <c r="C22" s="65">
        <v>100</v>
      </c>
      <c r="D22" s="65" t="s">
        <v>214</v>
      </c>
      <c r="E22" s="65" t="s">
        <v>215</v>
      </c>
      <c r="F22" s="65" t="s">
        <v>216</v>
      </c>
      <c r="G22" s="65"/>
      <c r="H22" s="65" t="s">
        <v>217</v>
      </c>
      <c r="I22" s="65" t="s">
        <v>218</v>
      </c>
      <c r="J22" s="70">
        <v>120</v>
      </c>
      <c r="K22" s="75">
        <v>150</v>
      </c>
      <c r="L22" s="75">
        <v>0</v>
      </c>
      <c r="M22" s="70">
        <v>0</v>
      </c>
      <c r="N22" s="75">
        <v>0</v>
      </c>
      <c r="O22" s="75">
        <v>400</v>
      </c>
      <c r="P22" s="70">
        <v>10</v>
      </c>
      <c r="Q22" s="75">
        <f>K22*TK_MaterialMU+L22*TK_LaborMU+N22*TK_MaterialMU2+O22*TK_LaborMU2</f>
        <v>175</v>
      </c>
      <c r="R22" s="75">
        <f>(K22+L22+N22+O22+Q22)*TK_FeeMU</f>
        <v>362.5</v>
      </c>
      <c r="S22" s="75">
        <f>SUM(K22+L22+N22+O22+Q22+R22)</f>
        <v>1087.5</v>
      </c>
      <c r="T22" s="75">
        <f>IF(Total_SimpleSell=0,0,S22/Total_SimpleSell*Total_GC)</f>
        <v>0</v>
      </c>
      <c r="U22" s="75">
        <f>(K22*(TK_MaterialMU+1)*TK_TaxRateMaterial+L22*(TK_LaborMU+1)*TK_TaxRateLabor+N22*(TK_MaterialMU2+1)*TK_TaxRateMaterial2+O22*(TK_LaborMU2+1)*TK_TaxRateLabor2+R22*TK_TaxRateProfit+T22*TaxRateGC)</f>
        <v>0</v>
      </c>
      <c r="V22" s="75">
        <f>SUM(S22+T22+U22)</f>
        <v>1087.5</v>
      </c>
    </row>
    <row r="23" spans="2:22" ht="12.75">
      <c r="B23" s="66"/>
      <c r="C23" s="66">
        <f>SUBTOTAL(9,C16:C22)</f>
        <v>108</v>
      </c>
      <c r="D23" s="66"/>
      <c r="E23" s="66"/>
      <c r="F23" s="66"/>
      <c r="G23" s="66"/>
      <c r="H23" s="66"/>
      <c r="I23" s="66"/>
      <c r="J23" s="71">
        <f>SUBTOTAL(9,J16:J22)</f>
        <v>696.8844166666668</v>
      </c>
      <c r="K23" s="76">
        <f>SUBTOTAL(9,K16:K22)</f>
        <v>1170.7086</v>
      </c>
      <c r="L23" s="76">
        <f>SUBTOTAL(9,L16:L22)</f>
        <v>395.14590000000004</v>
      </c>
      <c r="M23" s="71">
        <f>SUBTOTAL(9,M16:M22)</f>
        <v>19.757291125000002</v>
      </c>
      <c r="N23" s="76">
        <f>SUBTOTAL(9,N16:N22)</f>
        <v>0</v>
      </c>
      <c r="O23" s="76">
        <f>SUBTOTAL(9,O16:O22)</f>
        <v>530</v>
      </c>
      <c r="P23" s="71">
        <f>SUBTOTAL(9,P16:P22)</f>
        <v>13.25</v>
      </c>
      <c r="Q23" s="76">
        <f>SUBTOTAL(9,Q16:Q22)</f>
        <v>447.61463</v>
      </c>
      <c r="R23" s="76">
        <f>SUBTOTAL(9,R16:R22)</f>
        <v>1271.7345649999997</v>
      </c>
      <c r="S23" s="76">
        <f>SUBTOTAL(9,S16:S22)</f>
        <v>3815.2036949999997</v>
      </c>
      <c r="T23" s="76">
        <f>SUBTOTAL(9,T16:T22)</f>
        <v>0</v>
      </c>
      <c r="U23" s="76">
        <f>SUBTOTAL(9,U16:U22)</f>
        <v>0</v>
      </c>
      <c r="V23" s="76">
        <f>SUBTOTAL(9,V16:V22)</f>
        <v>3815.2036949999997</v>
      </c>
    </row>
    <row r="24" spans="1:22" ht="15.75">
      <c r="A24" s="63" t="s">
        <v>231</v>
      </c>
      <c r="J24" s="45"/>
      <c r="K24" s="73"/>
      <c r="L24" s="73"/>
      <c r="M24" s="45"/>
      <c r="N24" s="73"/>
      <c r="O24" s="73"/>
      <c r="P24" s="45"/>
      <c r="Q24" s="73"/>
      <c r="R24" s="73"/>
      <c r="S24" s="73"/>
      <c r="T24" s="73"/>
      <c r="U24" s="73"/>
      <c r="V24" s="73"/>
    </row>
    <row r="25" spans="2:22" ht="12.75">
      <c r="B25" s="64" t="s">
        <v>196</v>
      </c>
      <c r="C25" s="64" t="s">
        <v>197</v>
      </c>
      <c r="D25" s="64" t="s">
        <v>198</v>
      </c>
      <c r="E25" s="64" t="s">
        <v>199</v>
      </c>
      <c r="F25" s="64" t="s">
        <v>200</v>
      </c>
      <c r="G25" s="64" t="s">
        <v>201</v>
      </c>
      <c r="H25" s="64" t="s">
        <v>202</v>
      </c>
      <c r="I25" s="64" t="s">
        <v>203</v>
      </c>
      <c r="J25" s="69" t="s">
        <v>204</v>
      </c>
      <c r="K25" s="74" t="s">
        <v>205</v>
      </c>
      <c r="L25" s="74" t="s">
        <v>206</v>
      </c>
      <c r="M25" s="69" t="s">
        <v>207</v>
      </c>
      <c r="N25" s="74" t="s">
        <v>208</v>
      </c>
      <c r="O25" s="74" t="s">
        <v>209</v>
      </c>
      <c r="P25" s="69" t="s">
        <v>210</v>
      </c>
      <c r="Q25" s="74" t="s">
        <v>14</v>
      </c>
      <c r="R25" s="74" t="s">
        <v>12</v>
      </c>
      <c r="S25" s="74" t="s">
        <v>211</v>
      </c>
      <c r="T25" s="74" t="s">
        <v>212</v>
      </c>
      <c r="U25" s="74" t="s">
        <v>3</v>
      </c>
      <c r="V25" s="74" t="s">
        <v>213</v>
      </c>
    </row>
    <row r="26" spans="2:22" ht="12.75" outlineLevel="1">
      <c r="B26" s="65">
        <v>9</v>
      </c>
      <c r="C26" s="65">
        <v>2</v>
      </c>
      <c r="D26" s="65" t="s">
        <v>220</v>
      </c>
      <c r="E26" s="65" t="s">
        <v>221</v>
      </c>
      <c r="F26" s="65" t="s">
        <v>222</v>
      </c>
      <c r="G26" s="65"/>
      <c r="H26" s="65" t="s">
        <v>217</v>
      </c>
      <c r="I26" s="65" t="s">
        <v>223</v>
      </c>
      <c r="J26" s="70">
        <v>186.7</v>
      </c>
      <c r="K26" s="75">
        <v>352.2682</v>
      </c>
      <c r="L26" s="75">
        <v>147.3417</v>
      </c>
      <c r="M26" s="70">
        <v>7.367084</v>
      </c>
      <c r="N26" s="75">
        <v>0</v>
      </c>
      <c r="O26" s="75">
        <v>40</v>
      </c>
      <c r="P26" s="70">
        <v>1</v>
      </c>
      <c r="Q26" s="75">
        <f>K26*TK_MaterialMU+L26*TK_LaborMU+N26*TK_MaterialMU2+O26*TK_LaborMU2</f>
        <v>95.42933</v>
      </c>
      <c r="R26" s="75">
        <f>(K26+L26+N26+O26+Q26)*TK_FeeMU</f>
        <v>317.51961499999993</v>
      </c>
      <c r="S26" s="75">
        <f>SUM(K26+L26+N26+O26+Q26+R26)</f>
        <v>952.5588449999998</v>
      </c>
      <c r="T26" s="75">
        <f>IF(Total_SimpleSell=0,0,S26/Total_SimpleSell*Total_GC)</f>
        <v>0</v>
      </c>
      <c r="U26" s="75">
        <f>(K26*(TK_MaterialMU+1)*TK_TaxRateMaterial+L26*(TK_LaborMU+1)*TK_TaxRateLabor+N26*(TK_MaterialMU2+1)*TK_TaxRateMaterial2+O26*(TK_LaborMU2+1)*TK_TaxRateLabor2+R26*TK_TaxRateProfit+T26*TaxRateGC)</f>
        <v>0</v>
      </c>
      <c r="V26" s="75">
        <f>SUM(S26+T26+U26)</f>
        <v>952.5588449999998</v>
      </c>
    </row>
    <row r="27" spans="2:22" ht="12.75" outlineLevel="1">
      <c r="B27" s="65">
        <v>10</v>
      </c>
      <c r="C27" s="65">
        <v>1</v>
      </c>
      <c r="D27" s="65" t="s">
        <v>224</v>
      </c>
      <c r="E27" s="65" t="s">
        <v>225</v>
      </c>
      <c r="F27" s="65" t="s">
        <v>222</v>
      </c>
      <c r="G27" s="65"/>
      <c r="H27" s="65" t="s">
        <v>217</v>
      </c>
      <c r="I27" s="65" t="s">
        <v>223</v>
      </c>
      <c r="J27" s="70">
        <v>84.09166666666668</v>
      </c>
      <c r="K27" s="75">
        <v>148.6339</v>
      </c>
      <c r="L27" s="75">
        <v>55.8213</v>
      </c>
      <c r="M27" s="70">
        <v>2.7910647500000003</v>
      </c>
      <c r="N27" s="75">
        <v>0</v>
      </c>
      <c r="O27" s="75">
        <v>20</v>
      </c>
      <c r="P27" s="70">
        <v>0.5</v>
      </c>
      <c r="Q27" s="75">
        <f>K27*TK_MaterialMU+L27*TK_LaborMU+N27*TK_MaterialMU2+O27*TK_LaborMU2</f>
        <v>39.60978</v>
      </c>
      <c r="R27" s="75">
        <f>(K27+L27+N27+O27+Q27)*TK_FeeMU</f>
        <v>132.03249</v>
      </c>
      <c r="S27" s="75">
        <f>SUM(K27+L27+N27+O27+Q27+R27)</f>
        <v>396.09747</v>
      </c>
      <c r="T27" s="75">
        <f>IF(Total_SimpleSell=0,0,S27/Total_SimpleSell*Total_GC)</f>
        <v>0</v>
      </c>
      <c r="U27" s="75">
        <f>(K27*(TK_MaterialMU+1)*TK_TaxRateMaterial+L27*(TK_LaborMU+1)*TK_TaxRateLabor+N27*(TK_MaterialMU2+1)*TK_TaxRateMaterial2+O27*(TK_LaborMU2+1)*TK_TaxRateLabor2+R27*TK_TaxRateProfit+T27*TaxRateGC)</f>
        <v>0</v>
      </c>
      <c r="V27" s="75">
        <f>SUM(S27+T27+U27)</f>
        <v>396.09747</v>
      </c>
    </row>
    <row r="28" spans="2:22" ht="12.75" outlineLevel="1">
      <c r="B28" s="65">
        <v>11</v>
      </c>
      <c r="C28" s="65">
        <v>2</v>
      </c>
      <c r="D28" s="65" t="s">
        <v>224</v>
      </c>
      <c r="E28" s="65" t="s">
        <v>225</v>
      </c>
      <c r="F28" s="65" t="s">
        <v>222</v>
      </c>
      <c r="G28" s="65"/>
      <c r="H28" s="65" t="s">
        <v>217</v>
      </c>
      <c r="I28" s="65" t="s">
        <v>223</v>
      </c>
      <c r="J28" s="70">
        <v>153.98333333333335</v>
      </c>
      <c r="K28" s="75">
        <v>289.9408</v>
      </c>
      <c r="L28" s="75">
        <v>107.8248</v>
      </c>
      <c r="M28" s="70">
        <v>5.391239500000002</v>
      </c>
      <c r="N28" s="75">
        <v>0</v>
      </c>
      <c r="O28" s="75">
        <v>40</v>
      </c>
      <c r="P28" s="70">
        <v>1</v>
      </c>
      <c r="Q28" s="75">
        <f>K28*TK_MaterialMU+L28*TK_LaborMU+N28*TK_MaterialMU2+O28*TK_LaborMU2</f>
        <v>77.34152</v>
      </c>
      <c r="R28" s="75">
        <f>(K28+L28+N28+O28+Q28)*TK_FeeMU</f>
        <v>257.55356</v>
      </c>
      <c r="S28" s="75">
        <f>SUM(K28+L28+N28+O28+Q28+R28)</f>
        <v>772.66068</v>
      </c>
      <c r="T28" s="75">
        <f>IF(Total_SimpleSell=0,0,S28/Total_SimpleSell*Total_GC)</f>
        <v>0</v>
      </c>
      <c r="U28" s="75">
        <f>(K28*(TK_MaterialMU+1)*TK_TaxRateMaterial+L28*(TK_LaborMU+1)*TK_TaxRateLabor+N28*(TK_MaterialMU2+1)*TK_TaxRateMaterial2+O28*(TK_LaborMU2+1)*TK_TaxRateLabor2+R28*TK_TaxRateProfit+T28*TaxRateGC)</f>
        <v>0</v>
      </c>
      <c r="V28" s="75">
        <f>SUM(S28+T28+U28)</f>
        <v>772.66068</v>
      </c>
    </row>
    <row r="29" spans="2:22" ht="12.75" outlineLevel="1">
      <c r="B29" s="65">
        <v>12</v>
      </c>
      <c r="C29" s="65">
        <v>1</v>
      </c>
      <c r="D29" s="65" t="s">
        <v>224</v>
      </c>
      <c r="E29" s="65" t="s">
        <v>225</v>
      </c>
      <c r="F29" s="65" t="s">
        <v>222</v>
      </c>
      <c r="G29" s="65"/>
      <c r="H29" s="65" t="s">
        <v>217</v>
      </c>
      <c r="I29" s="65" t="s">
        <v>223</v>
      </c>
      <c r="J29" s="70">
        <v>84.09166666666668</v>
      </c>
      <c r="K29" s="75">
        <v>148.6339</v>
      </c>
      <c r="L29" s="75">
        <v>55.8213</v>
      </c>
      <c r="M29" s="70">
        <v>2.7910647500000003</v>
      </c>
      <c r="N29" s="75">
        <v>0</v>
      </c>
      <c r="O29" s="75">
        <v>20</v>
      </c>
      <c r="P29" s="70">
        <v>0.5</v>
      </c>
      <c r="Q29" s="75">
        <f>K29*TK_MaterialMU+L29*TK_LaborMU+N29*TK_MaterialMU2+O29*TK_LaborMU2</f>
        <v>39.60978</v>
      </c>
      <c r="R29" s="75">
        <f>(K29+L29+N29+O29+Q29)*TK_FeeMU</f>
        <v>132.03249</v>
      </c>
      <c r="S29" s="75">
        <f>SUM(K29+L29+N29+O29+Q29+R29)</f>
        <v>396.09747</v>
      </c>
      <c r="T29" s="75">
        <f>IF(Total_SimpleSell=0,0,S29/Total_SimpleSell*Total_GC)</f>
        <v>0</v>
      </c>
      <c r="U29" s="75">
        <f>(K29*(TK_MaterialMU+1)*TK_TaxRateMaterial+L29*(TK_LaborMU+1)*TK_TaxRateLabor+N29*(TK_MaterialMU2+1)*TK_TaxRateMaterial2+O29*(TK_LaborMU2+1)*TK_TaxRateLabor2+R29*TK_TaxRateProfit+T29*TaxRateGC)</f>
        <v>0</v>
      </c>
      <c r="V29" s="75">
        <f>SUM(S29+T29+U29)</f>
        <v>396.09747</v>
      </c>
    </row>
    <row r="30" spans="2:22" ht="12.75" outlineLevel="1">
      <c r="B30" s="65">
        <v>13</v>
      </c>
      <c r="C30" s="65">
        <v>1</v>
      </c>
      <c r="D30" s="65" t="s">
        <v>226</v>
      </c>
      <c r="E30" s="65" t="s">
        <v>227</v>
      </c>
      <c r="F30" s="65" t="s">
        <v>222</v>
      </c>
      <c r="G30" s="65" t="s">
        <v>228</v>
      </c>
      <c r="H30" s="65" t="s">
        <v>217</v>
      </c>
      <c r="I30" s="65" t="s">
        <v>223</v>
      </c>
      <c r="J30" s="70">
        <v>24.4</v>
      </c>
      <c r="K30" s="75">
        <v>31.4259</v>
      </c>
      <c r="L30" s="75">
        <v>3.4261</v>
      </c>
      <c r="M30" s="70">
        <v>0.171304</v>
      </c>
      <c r="N30" s="75">
        <v>0</v>
      </c>
      <c r="O30" s="75">
        <v>0</v>
      </c>
      <c r="P30" s="70">
        <v>0</v>
      </c>
      <c r="Q30" s="75">
        <f>K30*TK_MaterialMU+L30*TK_LaborMU+N30*TK_MaterialMU2+O30*TK_LaborMU2</f>
        <v>4.17042</v>
      </c>
      <c r="R30" s="75">
        <f>(K30+L30+N30+O30+Q30)*TK_FeeMU</f>
        <v>19.51121</v>
      </c>
      <c r="S30" s="75">
        <f>SUM(K30+L30+N30+O30+Q30+R30)</f>
        <v>58.533629999999995</v>
      </c>
      <c r="T30" s="75">
        <f>IF(Total_SimpleSell=0,0,S30/Total_SimpleSell*Total_GC)</f>
        <v>0</v>
      </c>
      <c r="U30" s="75">
        <f>(K30*(TK_MaterialMU+1)*TK_TaxRateMaterial+L30*(TK_LaborMU+1)*TK_TaxRateLabor+N30*(TK_MaterialMU2+1)*TK_TaxRateMaterial2+O30*(TK_LaborMU2+1)*TK_TaxRateLabor2+R30*TK_TaxRateProfit+T30*TaxRateGC)</f>
        <v>0</v>
      </c>
      <c r="V30" s="75">
        <f>SUM(S30+T30+U30)</f>
        <v>58.533629999999995</v>
      </c>
    </row>
    <row r="31" spans="2:22" ht="12.75" outlineLevel="1">
      <c r="B31" s="65">
        <v>14</v>
      </c>
      <c r="C31" s="65">
        <v>1</v>
      </c>
      <c r="D31" s="65" t="s">
        <v>229</v>
      </c>
      <c r="E31" s="65" t="s">
        <v>230</v>
      </c>
      <c r="F31" s="65" t="s">
        <v>216</v>
      </c>
      <c r="G31" s="65"/>
      <c r="H31" s="65" t="s">
        <v>217</v>
      </c>
      <c r="I31" s="65" t="s">
        <v>223</v>
      </c>
      <c r="J31" s="70">
        <v>43.617749999999994</v>
      </c>
      <c r="K31" s="75">
        <v>49.8059</v>
      </c>
      <c r="L31" s="75">
        <v>24.9107</v>
      </c>
      <c r="M31" s="70">
        <v>1.245534125</v>
      </c>
      <c r="N31" s="75">
        <v>0</v>
      </c>
      <c r="O31" s="75">
        <v>10</v>
      </c>
      <c r="P31" s="70">
        <v>0.25</v>
      </c>
      <c r="Q31" s="75">
        <f>K31*TK_MaterialMU+L31*TK_LaborMU+N31*TK_MaterialMU2+O31*TK_LaborMU2</f>
        <v>16.4538</v>
      </c>
      <c r="R31" s="75">
        <f>(K31+L31+N31+O31+Q31)*TK_FeeMU</f>
        <v>50.5852</v>
      </c>
      <c r="S31" s="75">
        <f>SUM(K31+L31+N31+O31+Q31+R31)</f>
        <v>151.75560000000002</v>
      </c>
      <c r="T31" s="75">
        <f>IF(Total_SimpleSell=0,0,S31/Total_SimpleSell*Total_GC)</f>
        <v>0</v>
      </c>
      <c r="U31" s="75">
        <f>(K31*(TK_MaterialMU+1)*TK_TaxRateMaterial+L31*(TK_LaborMU+1)*TK_TaxRateLabor+N31*(TK_MaterialMU2+1)*TK_TaxRateMaterial2+O31*(TK_LaborMU2+1)*TK_TaxRateLabor2+R31*TK_TaxRateProfit+T31*TaxRateGC)</f>
        <v>0</v>
      </c>
      <c r="V31" s="75">
        <f>SUM(S31+T31+U31)</f>
        <v>151.75560000000002</v>
      </c>
    </row>
    <row r="32" spans="2:22" ht="12.75" outlineLevel="1">
      <c r="B32" s="65">
        <v>15</v>
      </c>
      <c r="C32" s="65">
        <v>100</v>
      </c>
      <c r="D32" s="65" t="s">
        <v>214</v>
      </c>
      <c r="E32" s="65" t="s">
        <v>215</v>
      </c>
      <c r="F32" s="65" t="s">
        <v>216</v>
      </c>
      <c r="G32" s="65"/>
      <c r="H32" s="65" t="s">
        <v>217</v>
      </c>
      <c r="I32" s="65" t="s">
        <v>218</v>
      </c>
      <c r="J32" s="70">
        <v>120</v>
      </c>
      <c r="K32" s="75">
        <v>150</v>
      </c>
      <c r="L32" s="75">
        <v>0</v>
      </c>
      <c r="M32" s="70">
        <v>0</v>
      </c>
      <c r="N32" s="75">
        <v>0</v>
      </c>
      <c r="O32" s="75">
        <v>400</v>
      </c>
      <c r="P32" s="70">
        <v>10</v>
      </c>
      <c r="Q32" s="75">
        <f>K32*TK_MaterialMU+L32*TK_LaborMU+N32*TK_MaterialMU2+O32*TK_LaborMU2</f>
        <v>175</v>
      </c>
      <c r="R32" s="75">
        <f>(K32+L32+N32+O32+Q32)*TK_FeeMU</f>
        <v>362.5</v>
      </c>
      <c r="S32" s="75">
        <f>SUM(K32+L32+N32+O32+Q32+R32)</f>
        <v>1087.5</v>
      </c>
      <c r="T32" s="75">
        <f>IF(Total_SimpleSell=0,0,S32/Total_SimpleSell*Total_GC)</f>
        <v>0</v>
      </c>
      <c r="U32" s="75">
        <f>(K32*(TK_MaterialMU+1)*TK_TaxRateMaterial+L32*(TK_LaborMU+1)*TK_TaxRateLabor+N32*(TK_MaterialMU2+1)*TK_TaxRateMaterial2+O32*(TK_LaborMU2+1)*TK_TaxRateLabor2+R32*TK_TaxRateProfit+T32*TaxRateGC)</f>
        <v>0</v>
      </c>
      <c r="V32" s="75">
        <f>SUM(S32+T32+U32)</f>
        <v>1087.5</v>
      </c>
    </row>
    <row r="33" spans="2:22" ht="12.75">
      <c r="B33" s="66"/>
      <c r="C33" s="66">
        <f>SUBTOTAL(9,C26:C32)</f>
        <v>108</v>
      </c>
      <c r="D33" s="66"/>
      <c r="E33" s="66"/>
      <c r="F33" s="66"/>
      <c r="G33" s="66"/>
      <c r="H33" s="66"/>
      <c r="I33" s="66"/>
      <c r="J33" s="71">
        <f>SUBTOTAL(9,J26:J32)</f>
        <v>696.8844166666668</v>
      </c>
      <c r="K33" s="76">
        <f>SUBTOTAL(9,K26:K32)</f>
        <v>1170.7086</v>
      </c>
      <c r="L33" s="76">
        <f>SUBTOTAL(9,L26:L32)</f>
        <v>395.14590000000004</v>
      </c>
      <c r="M33" s="71">
        <f>SUBTOTAL(9,M26:M32)</f>
        <v>19.757291125000002</v>
      </c>
      <c r="N33" s="76">
        <f>SUBTOTAL(9,N26:N32)</f>
        <v>0</v>
      </c>
      <c r="O33" s="76">
        <f>SUBTOTAL(9,O26:O32)</f>
        <v>530</v>
      </c>
      <c r="P33" s="71">
        <f>SUBTOTAL(9,P26:P32)</f>
        <v>13.25</v>
      </c>
      <c r="Q33" s="76">
        <f>SUBTOTAL(9,Q26:Q32)</f>
        <v>447.61463</v>
      </c>
      <c r="R33" s="76">
        <f>SUBTOTAL(9,R26:R32)</f>
        <v>1271.7345649999997</v>
      </c>
      <c r="S33" s="76">
        <f>SUBTOTAL(9,S26:S32)</f>
        <v>3815.2036949999997</v>
      </c>
      <c r="T33" s="76">
        <f>SUBTOTAL(9,T26:T32)</f>
        <v>0</v>
      </c>
      <c r="U33" s="76">
        <f>SUBTOTAL(9,U26:U32)</f>
        <v>0</v>
      </c>
      <c r="V33" s="76">
        <f>SUBTOTAL(9,V26:V32)</f>
        <v>3815.2036949999997</v>
      </c>
    </row>
    <row r="34" spans="1:22" ht="15.75">
      <c r="A34" s="63" t="s">
        <v>232</v>
      </c>
      <c r="J34" s="45"/>
      <c r="K34" s="73"/>
      <c r="L34" s="73"/>
      <c r="M34" s="45"/>
      <c r="N34" s="73"/>
      <c r="O34" s="73"/>
      <c r="P34" s="45"/>
      <c r="Q34" s="73"/>
      <c r="R34" s="73"/>
      <c r="S34" s="73"/>
      <c r="T34" s="73"/>
      <c r="U34" s="73"/>
      <c r="V34" s="73"/>
    </row>
    <row r="35" spans="2:22" ht="12.75">
      <c r="B35" s="64" t="s">
        <v>196</v>
      </c>
      <c r="C35" s="64" t="s">
        <v>197</v>
      </c>
      <c r="D35" s="64" t="s">
        <v>198</v>
      </c>
      <c r="E35" s="64" t="s">
        <v>199</v>
      </c>
      <c r="F35" s="64" t="s">
        <v>200</v>
      </c>
      <c r="G35" s="64" t="s">
        <v>201</v>
      </c>
      <c r="H35" s="64" t="s">
        <v>202</v>
      </c>
      <c r="I35" s="64" t="s">
        <v>203</v>
      </c>
      <c r="J35" s="69" t="s">
        <v>204</v>
      </c>
      <c r="K35" s="74" t="s">
        <v>205</v>
      </c>
      <c r="L35" s="74" t="s">
        <v>206</v>
      </c>
      <c r="M35" s="69" t="s">
        <v>207</v>
      </c>
      <c r="N35" s="74" t="s">
        <v>208</v>
      </c>
      <c r="O35" s="74" t="s">
        <v>209</v>
      </c>
      <c r="P35" s="69" t="s">
        <v>210</v>
      </c>
      <c r="Q35" s="74" t="s">
        <v>14</v>
      </c>
      <c r="R35" s="74" t="s">
        <v>12</v>
      </c>
      <c r="S35" s="74" t="s">
        <v>211</v>
      </c>
      <c r="T35" s="74" t="s">
        <v>212</v>
      </c>
      <c r="U35" s="74" t="s">
        <v>3</v>
      </c>
      <c r="V35" s="74" t="s">
        <v>213</v>
      </c>
    </row>
    <row r="36" spans="2:22" ht="12.75" outlineLevel="1">
      <c r="B36" s="65">
        <v>16</v>
      </c>
      <c r="C36" s="65">
        <v>1</v>
      </c>
      <c r="D36" s="65" t="s">
        <v>233</v>
      </c>
      <c r="E36" s="65" t="s">
        <v>234</v>
      </c>
      <c r="F36" s="65" t="s">
        <v>216</v>
      </c>
      <c r="G36" s="65" t="s">
        <v>235</v>
      </c>
      <c r="H36" s="65" t="s">
        <v>217</v>
      </c>
      <c r="I36" s="65" t="s">
        <v>236</v>
      </c>
      <c r="J36" s="70">
        <v>56.135</v>
      </c>
      <c r="K36" s="75">
        <v>52.3287</v>
      </c>
      <c r="L36" s="75">
        <v>56.517</v>
      </c>
      <c r="M36" s="70">
        <v>2.82584825</v>
      </c>
      <c r="N36" s="75">
        <v>0</v>
      </c>
      <c r="O36" s="75">
        <v>100</v>
      </c>
      <c r="P36" s="70">
        <v>2.5</v>
      </c>
      <c r="Q36" s="75">
        <f>K36*TK_MaterialMU+L36*TK_LaborMU+N36*TK_MaterialMU2+O36*TK_LaborMU2</f>
        <v>62.18797</v>
      </c>
      <c r="R36" s="75">
        <f>(K36+L36+N36+O36+Q36)*TK_FeeMU</f>
        <v>135.516835</v>
      </c>
      <c r="S36" s="75">
        <f>SUM(K36+L36+N36+O36+Q36+R36)</f>
        <v>406.55050499999993</v>
      </c>
      <c r="T36" s="75">
        <f>IF(Total_SimpleSell=0,0,S36/Total_SimpleSell*Total_GC)</f>
        <v>0</v>
      </c>
      <c r="U36" s="75">
        <f>(K36*(TK_MaterialMU+1)*TK_TaxRateMaterial+L36*(TK_LaborMU+1)*TK_TaxRateLabor+N36*(TK_MaterialMU2+1)*TK_TaxRateMaterial2+O36*(TK_LaborMU2+1)*TK_TaxRateLabor2+R36*TK_TaxRateProfit+T36*TaxRateGC)</f>
        <v>0</v>
      </c>
      <c r="V36" s="75">
        <f>SUM(S36+T36+U36)</f>
        <v>406.55050499999993</v>
      </c>
    </row>
    <row r="37" spans="2:22" ht="12.75" outlineLevel="1">
      <c r="B37" s="65">
        <v>17</v>
      </c>
      <c r="C37" s="65">
        <v>2</v>
      </c>
      <c r="D37" s="65" t="s">
        <v>224</v>
      </c>
      <c r="E37" s="65" t="s">
        <v>237</v>
      </c>
      <c r="F37" s="65" t="s">
        <v>238</v>
      </c>
      <c r="G37" s="65"/>
      <c r="H37" s="65" t="s">
        <v>217</v>
      </c>
      <c r="I37" s="65" t="s">
        <v>236</v>
      </c>
      <c r="J37" s="70">
        <v>226.2</v>
      </c>
      <c r="K37" s="75">
        <v>390.3847</v>
      </c>
      <c r="L37" s="75">
        <v>123.5236</v>
      </c>
      <c r="M37" s="70">
        <v>6.176179500000001</v>
      </c>
      <c r="N37" s="75">
        <v>0</v>
      </c>
      <c r="O37" s="75">
        <v>40</v>
      </c>
      <c r="P37" s="70">
        <v>1</v>
      </c>
      <c r="Q37" s="75">
        <f>K37*TK_MaterialMU+L37*TK_LaborMU+N37*TK_MaterialMU2+O37*TK_LaborMU2</f>
        <v>92.09555</v>
      </c>
      <c r="R37" s="75">
        <f>(K37+L37+N37+O37+Q37)*TK_FeeMU</f>
        <v>323.001925</v>
      </c>
      <c r="S37" s="75">
        <f>SUM(K37+L37+N37+O37+Q37+R37)</f>
        <v>969.0057750000001</v>
      </c>
      <c r="T37" s="75">
        <f>IF(Total_SimpleSell=0,0,S37/Total_SimpleSell*Total_GC)</f>
        <v>0</v>
      </c>
      <c r="U37" s="75">
        <f>(K37*(TK_MaterialMU+1)*TK_TaxRateMaterial+L37*(TK_LaborMU+1)*TK_TaxRateLabor+N37*(TK_MaterialMU2+1)*TK_TaxRateMaterial2+O37*(TK_LaborMU2+1)*TK_TaxRateLabor2+R37*TK_TaxRateProfit+T37*TaxRateGC)</f>
        <v>0</v>
      </c>
      <c r="V37" s="75">
        <f>SUM(S37+T37+U37)</f>
        <v>969.0057750000001</v>
      </c>
    </row>
    <row r="38" spans="2:22" ht="12.75" outlineLevel="1">
      <c r="B38" s="65">
        <v>18</v>
      </c>
      <c r="C38" s="65">
        <v>1</v>
      </c>
      <c r="D38" s="65" t="s">
        <v>239</v>
      </c>
      <c r="E38" s="65" t="s">
        <v>240</v>
      </c>
      <c r="F38" s="65" t="s">
        <v>216</v>
      </c>
      <c r="G38" s="65"/>
      <c r="H38" s="65" t="s">
        <v>217</v>
      </c>
      <c r="I38" s="65" t="s">
        <v>236</v>
      </c>
      <c r="J38" s="70">
        <v>121.04984722222221</v>
      </c>
      <c r="K38" s="75">
        <v>143.1788</v>
      </c>
      <c r="L38" s="75">
        <v>81.3543</v>
      </c>
      <c r="M38" s="70">
        <v>4.067717131944444</v>
      </c>
      <c r="N38" s="75">
        <v>0</v>
      </c>
      <c r="O38" s="75">
        <v>40.6667</v>
      </c>
      <c r="P38" s="70">
        <v>1.0166666666666666</v>
      </c>
      <c r="Q38" s="75">
        <f>K38*TK_MaterialMU+L38*TK_LaborMU+N38*TK_MaterialMU2+O38*TK_LaborMU2</f>
        <v>54.99085</v>
      </c>
      <c r="R38" s="75">
        <f>(K38+L38+N38+O38+Q38)*TK_FeeMU</f>
        <v>160.095325</v>
      </c>
      <c r="S38" s="75">
        <f>SUM(K38+L38+N38+O38+Q38+R38)</f>
        <v>480.285975</v>
      </c>
      <c r="T38" s="75">
        <f>IF(Total_SimpleSell=0,0,S38/Total_SimpleSell*Total_GC)</f>
        <v>0</v>
      </c>
      <c r="U38" s="75">
        <f>(K38*(TK_MaterialMU+1)*TK_TaxRateMaterial+L38*(TK_LaborMU+1)*TK_TaxRateLabor+N38*(TK_MaterialMU2+1)*TK_TaxRateMaterial2+O38*(TK_LaborMU2+1)*TK_TaxRateLabor2+R38*TK_TaxRateProfit+T38*TaxRateGC)</f>
        <v>0</v>
      </c>
      <c r="V38" s="75">
        <f>SUM(S38+T38+U38)</f>
        <v>480.285975</v>
      </c>
    </row>
    <row r="39" spans="2:22" ht="12.75" outlineLevel="1">
      <c r="B39" s="65">
        <v>19</v>
      </c>
      <c r="C39" s="65">
        <v>4</v>
      </c>
      <c r="D39" s="65" t="s">
        <v>241</v>
      </c>
      <c r="E39" s="65" t="s">
        <v>215</v>
      </c>
      <c r="F39" s="65" t="s">
        <v>222</v>
      </c>
      <c r="G39" s="65"/>
      <c r="H39" s="65" t="s">
        <v>217</v>
      </c>
      <c r="I39" s="65" t="s">
        <v>236</v>
      </c>
      <c r="J39" s="70">
        <v>180</v>
      </c>
      <c r="K39" s="75">
        <v>0</v>
      </c>
      <c r="L39" s="75">
        <v>0</v>
      </c>
      <c r="M39" s="70">
        <v>0</v>
      </c>
      <c r="N39" s="75">
        <v>1000</v>
      </c>
      <c r="O39" s="75">
        <v>0</v>
      </c>
      <c r="P39" s="70">
        <v>0</v>
      </c>
      <c r="Q39" s="75">
        <f>K39*TK_MaterialMU+L39*TK_LaborMU+N39*TK_MaterialMU2+O39*TK_LaborMU2</f>
        <v>200</v>
      </c>
      <c r="R39" s="75">
        <f>(K39+L39+N39+O39+Q39)*TK_FeeMU</f>
        <v>600</v>
      </c>
      <c r="S39" s="75">
        <f>SUM(K39+L39+N39+O39+Q39+R39)</f>
        <v>1800</v>
      </c>
      <c r="T39" s="75">
        <f>IF(Total_SimpleSell=0,0,S39/Total_SimpleSell*Total_GC)</f>
        <v>0</v>
      </c>
      <c r="U39" s="75">
        <f>(K39*(TK_MaterialMU+1)*TK_TaxRateMaterial+L39*(TK_LaborMU+1)*TK_TaxRateLabor+N39*(TK_MaterialMU2+1)*TK_TaxRateMaterial2+O39*(TK_LaborMU2+1)*TK_TaxRateLabor2+R39*TK_TaxRateProfit+T39*TaxRateGC)</f>
        <v>0</v>
      </c>
      <c r="V39" s="75">
        <f>SUM(S39+T39+U39)</f>
        <v>1800</v>
      </c>
    </row>
    <row r="40" spans="2:22" ht="12.75" outlineLevel="1">
      <c r="B40" s="65">
        <v>26</v>
      </c>
      <c r="C40" s="65">
        <v>2</v>
      </c>
      <c r="D40" s="65" t="s">
        <v>242</v>
      </c>
      <c r="E40" s="65" t="s">
        <v>243</v>
      </c>
      <c r="F40" s="65" t="s">
        <v>216</v>
      </c>
      <c r="G40" s="65" t="s">
        <v>244</v>
      </c>
      <c r="H40" s="65" t="s">
        <v>245</v>
      </c>
      <c r="I40" s="65" t="s">
        <v>218</v>
      </c>
      <c r="J40" s="70">
        <v>144.3</v>
      </c>
      <c r="K40" s="75">
        <v>156</v>
      </c>
      <c r="L40" s="75">
        <v>35</v>
      </c>
      <c r="M40" s="70">
        <v>1.75</v>
      </c>
      <c r="N40" s="75">
        <v>0</v>
      </c>
      <c r="O40" s="75">
        <v>80</v>
      </c>
      <c r="P40" s="70">
        <v>2</v>
      </c>
      <c r="Q40" s="75">
        <f>K40*TK_MaterialMU+L40*TK_LaborMU+N40*TK_MaterialMU2+O40*TK_LaborMU2</f>
        <v>58.1</v>
      </c>
      <c r="R40" s="75">
        <f>(K40+L40+N40+O40+Q40)*TK_FeeMU</f>
        <v>164.55</v>
      </c>
      <c r="S40" s="75">
        <f>SUM(K40+L40+N40+O40+Q40+R40)</f>
        <v>493.65000000000003</v>
      </c>
      <c r="T40" s="75">
        <f>IF(Total_SimpleSell=0,0,S40/Total_SimpleSell*Total_GC)</f>
        <v>0</v>
      </c>
      <c r="U40" s="75">
        <f>(K40*(TK_MaterialMU+1)*TK_TaxRateMaterial+L40*(TK_LaborMU+1)*TK_TaxRateLabor+N40*(TK_MaterialMU2+1)*TK_TaxRateMaterial2+O40*(TK_LaborMU2+1)*TK_TaxRateLabor2+R40*TK_TaxRateProfit+T40*TaxRateGC)</f>
        <v>0</v>
      </c>
      <c r="V40" s="75">
        <f>SUM(S40+T40+U40)</f>
        <v>493.65000000000003</v>
      </c>
    </row>
    <row r="41" spans="2:22" ht="12.75">
      <c r="B41" s="66"/>
      <c r="C41" s="66">
        <f>SUBTOTAL(9,C36:C40)</f>
        <v>10</v>
      </c>
      <c r="D41" s="66"/>
      <c r="E41" s="66"/>
      <c r="F41" s="66"/>
      <c r="G41" s="66"/>
      <c r="H41" s="66"/>
      <c r="I41" s="66"/>
      <c r="J41" s="71">
        <f>SUBTOTAL(9,J36:J40)</f>
        <v>727.6848472222223</v>
      </c>
      <c r="K41" s="76">
        <f>SUBTOTAL(9,K36:K40)</f>
        <v>741.8922</v>
      </c>
      <c r="L41" s="76">
        <f>SUBTOTAL(9,L36:L40)</f>
        <v>296.3949</v>
      </c>
      <c r="M41" s="71">
        <f>SUBTOTAL(9,M36:M40)</f>
        <v>14.819744881944445</v>
      </c>
      <c r="N41" s="76">
        <f>SUBTOTAL(9,N36:N40)</f>
        <v>1000</v>
      </c>
      <c r="O41" s="76">
        <f>SUBTOTAL(9,O36:O40)</f>
        <v>260.6667</v>
      </c>
      <c r="P41" s="71">
        <f>SUBTOTAL(9,P36:P40)</f>
        <v>6.516666666666667</v>
      </c>
      <c r="Q41" s="76">
        <f>SUBTOTAL(9,Q36:Q40)</f>
        <v>467.37437</v>
      </c>
      <c r="R41" s="76">
        <f>SUBTOTAL(9,R36:R40)</f>
        <v>1383.1640850000001</v>
      </c>
      <c r="S41" s="76">
        <f>SUBTOTAL(9,S36:S40)</f>
        <v>4149.492255</v>
      </c>
      <c r="T41" s="76">
        <f>SUBTOTAL(9,T36:T40)</f>
        <v>0</v>
      </c>
      <c r="U41" s="76">
        <f>SUBTOTAL(9,U36:U40)</f>
        <v>0</v>
      </c>
      <c r="V41" s="76">
        <f>SUBTOTAL(9,V36:V40)</f>
        <v>4149.492255</v>
      </c>
    </row>
    <row r="42" spans="1:22" ht="15.75">
      <c r="A42" s="63" t="s">
        <v>246</v>
      </c>
      <c r="J42" s="45"/>
      <c r="K42" s="73"/>
      <c r="L42" s="73"/>
      <c r="M42" s="45"/>
      <c r="N42" s="73"/>
      <c r="O42" s="73"/>
      <c r="P42" s="45"/>
      <c r="Q42" s="73"/>
      <c r="R42" s="73"/>
      <c r="S42" s="73"/>
      <c r="T42" s="73"/>
      <c r="U42" s="73"/>
      <c r="V42" s="73"/>
    </row>
    <row r="43" spans="2:22" ht="12.75">
      <c r="B43" s="64" t="s">
        <v>196</v>
      </c>
      <c r="C43" s="64" t="s">
        <v>197</v>
      </c>
      <c r="D43" s="64" t="s">
        <v>198</v>
      </c>
      <c r="E43" s="64" t="s">
        <v>199</v>
      </c>
      <c r="F43" s="64" t="s">
        <v>200</v>
      </c>
      <c r="G43" s="64" t="s">
        <v>201</v>
      </c>
      <c r="H43" s="64" t="s">
        <v>202</v>
      </c>
      <c r="I43" s="64" t="s">
        <v>203</v>
      </c>
      <c r="J43" s="69" t="s">
        <v>204</v>
      </c>
      <c r="K43" s="74" t="s">
        <v>205</v>
      </c>
      <c r="L43" s="74" t="s">
        <v>206</v>
      </c>
      <c r="M43" s="69" t="s">
        <v>207</v>
      </c>
      <c r="N43" s="74" t="s">
        <v>208</v>
      </c>
      <c r="O43" s="74" t="s">
        <v>209</v>
      </c>
      <c r="P43" s="69" t="s">
        <v>210</v>
      </c>
      <c r="Q43" s="74" t="s">
        <v>14</v>
      </c>
      <c r="R43" s="74" t="s">
        <v>12</v>
      </c>
      <c r="S43" s="74" t="s">
        <v>211</v>
      </c>
      <c r="T43" s="74" t="s">
        <v>212</v>
      </c>
      <c r="U43" s="74" t="s">
        <v>3</v>
      </c>
      <c r="V43" s="74" t="s">
        <v>213</v>
      </c>
    </row>
    <row r="44" spans="2:22" ht="12.75" outlineLevel="1">
      <c r="B44" s="65">
        <v>20</v>
      </c>
      <c r="C44" s="65">
        <v>2</v>
      </c>
      <c r="D44" s="65" t="s">
        <v>247</v>
      </c>
      <c r="E44" s="65" t="s">
        <v>248</v>
      </c>
      <c r="F44" s="65" t="s">
        <v>249</v>
      </c>
      <c r="G44" s="65"/>
      <c r="H44" s="65" t="s">
        <v>217</v>
      </c>
      <c r="I44" s="65" t="s">
        <v>223</v>
      </c>
      <c r="J44" s="70">
        <v>7.071999999999999</v>
      </c>
      <c r="K44" s="75">
        <v>4.4918</v>
      </c>
      <c r="L44" s="75">
        <v>5.8178</v>
      </c>
      <c r="M44" s="70">
        <v>0.290889</v>
      </c>
      <c r="N44" s="75">
        <v>0</v>
      </c>
      <c r="O44" s="75">
        <v>10</v>
      </c>
      <c r="P44" s="70">
        <v>0.25</v>
      </c>
      <c r="Q44" s="75">
        <f>K44*TK_MaterialMU+L44*TK_LaborMU+N44*TK_MaterialMU2+O44*TK_LaborMU2</f>
        <v>6.19452</v>
      </c>
      <c r="R44" s="75">
        <f>(K44+L44+N44+O44+Q44)*TK_FeeMU</f>
        <v>13.25206</v>
      </c>
      <c r="S44" s="75">
        <f>SUM(K44+L44+N44+O44+Q44+R44)</f>
        <v>39.75618</v>
      </c>
      <c r="T44" s="75">
        <f>IF(Total_SimpleSell=0,0,S44/Total_SimpleSell*Total_GC)</f>
        <v>0</v>
      </c>
      <c r="U44" s="75">
        <f>(K44*(TK_MaterialMU+1)*TK_TaxRateMaterial+L44*(TK_LaborMU+1)*TK_TaxRateLabor+N44*(TK_MaterialMU2+1)*TK_TaxRateMaterial2+O44*(TK_LaborMU2+1)*TK_TaxRateLabor2+R44*TK_TaxRateProfit+T44*TaxRateGC)</f>
        <v>0</v>
      </c>
      <c r="V44" s="75">
        <f>SUM(S44+T44+U44)</f>
        <v>39.75618</v>
      </c>
    </row>
    <row r="45" spans="2:22" ht="12.75" outlineLevel="1">
      <c r="B45" s="65">
        <v>21</v>
      </c>
      <c r="C45" s="65">
        <v>1</v>
      </c>
      <c r="D45" s="65" t="s">
        <v>250</v>
      </c>
      <c r="E45" s="65" t="s">
        <v>251</v>
      </c>
      <c r="F45" s="65" t="s">
        <v>249</v>
      </c>
      <c r="G45" s="65"/>
      <c r="H45" s="65" t="s">
        <v>217</v>
      </c>
      <c r="I45" s="65" t="s">
        <v>223</v>
      </c>
      <c r="J45" s="70">
        <v>125.02166666666665</v>
      </c>
      <c r="K45" s="75">
        <v>93.7301</v>
      </c>
      <c r="L45" s="75">
        <v>67.6703</v>
      </c>
      <c r="M45" s="70">
        <v>3.3835166250000013</v>
      </c>
      <c r="N45" s="75">
        <v>0</v>
      </c>
      <c r="O45" s="75">
        <v>20</v>
      </c>
      <c r="P45" s="70">
        <v>0.5</v>
      </c>
      <c r="Q45" s="75">
        <f>K45*TK_MaterialMU+L45*TK_LaborMU+N45*TK_MaterialMU2+O45*TK_LaborMU2</f>
        <v>37.674099999999996</v>
      </c>
      <c r="R45" s="75">
        <f>(K45+L45+N45+O45+Q45)*TK_FeeMU</f>
        <v>109.53725</v>
      </c>
      <c r="S45" s="75">
        <f>SUM(K45+L45+N45+O45+Q45+R45)</f>
        <v>328.61175000000003</v>
      </c>
      <c r="T45" s="75">
        <f>IF(Total_SimpleSell=0,0,S45/Total_SimpleSell*Total_GC)</f>
        <v>0</v>
      </c>
      <c r="U45" s="75">
        <f>(K45*(TK_MaterialMU+1)*TK_TaxRateMaterial+L45*(TK_LaborMU+1)*TK_TaxRateLabor+N45*(TK_MaterialMU2+1)*TK_TaxRateMaterial2+O45*(TK_LaborMU2+1)*TK_TaxRateLabor2+R45*TK_TaxRateProfit+T45*TaxRateGC)</f>
        <v>0</v>
      </c>
      <c r="V45" s="75">
        <f>SUM(S45+T45+U45)</f>
        <v>328.61175000000003</v>
      </c>
    </row>
    <row r="46" spans="2:22" ht="12.75" outlineLevel="1">
      <c r="B46" s="65">
        <v>22</v>
      </c>
      <c r="C46" s="65">
        <v>1</v>
      </c>
      <c r="D46" s="65" t="s">
        <v>252</v>
      </c>
      <c r="E46" s="65" t="s">
        <v>253</v>
      </c>
      <c r="F46" s="65" t="s">
        <v>249</v>
      </c>
      <c r="G46" s="65"/>
      <c r="H46" s="65" t="s">
        <v>217</v>
      </c>
      <c r="I46" s="65" t="s">
        <v>223</v>
      </c>
      <c r="J46" s="70">
        <v>101.47777777777776</v>
      </c>
      <c r="K46" s="75">
        <v>76.8541</v>
      </c>
      <c r="L46" s="75">
        <v>35.584</v>
      </c>
      <c r="M46" s="70">
        <v>1.7791993333333334</v>
      </c>
      <c r="N46" s="75">
        <v>0</v>
      </c>
      <c r="O46" s="75">
        <v>20</v>
      </c>
      <c r="P46" s="70">
        <v>0.5</v>
      </c>
      <c r="Q46" s="75">
        <f>K46*TK_MaterialMU+L46*TK_LaborMU+N46*TK_MaterialMU2+O46*TK_LaborMU2</f>
        <v>26.36061</v>
      </c>
      <c r="R46" s="75">
        <f>(K46+L46+N46+O46+Q46)*TK_FeeMU</f>
        <v>79.39935500000001</v>
      </c>
      <c r="S46" s="75">
        <f>SUM(K46+L46+N46+O46+Q46+R46)</f>
        <v>238.19806500000004</v>
      </c>
      <c r="T46" s="75">
        <f>IF(Total_SimpleSell=0,0,S46/Total_SimpleSell*Total_GC)</f>
        <v>0</v>
      </c>
      <c r="U46" s="75">
        <f>(K46*(TK_MaterialMU+1)*TK_TaxRateMaterial+L46*(TK_LaborMU+1)*TK_TaxRateLabor+N46*(TK_MaterialMU2+1)*TK_TaxRateMaterial2+O46*(TK_LaborMU2+1)*TK_TaxRateLabor2+R46*TK_TaxRateProfit+T46*TaxRateGC)</f>
        <v>0</v>
      </c>
      <c r="V46" s="75">
        <f>SUM(S46+T46+U46)</f>
        <v>238.19806500000004</v>
      </c>
    </row>
    <row r="47" spans="2:22" ht="12.75" outlineLevel="1">
      <c r="B47" s="65">
        <v>23</v>
      </c>
      <c r="C47" s="65">
        <v>1</v>
      </c>
      <c r="D47" s="65" t="s">
        <v>254</v>
      </c>
      <c r="E47" s="65" t="s">
        <v>255</v>
      </c>
      <c r="F47" s="65" t="s">
        <v>216</v>
      </c>
      <c r="G47" s="65"/>
      <c r="H47" s="65" t="s">
        <v>217</v>
      </c>
      <c r="I47" s="65" t="s">
        <v>223</v>
      </c>
      <c r="J47" s="70">
        <v>51.73694444444445</v>
      </c>
      <c r="K47" s="75">
        <v>50.0562</v>
      </c>
      <c r="L47" s="75">
        <v>38.1079</v>
      </c>
      <c r="M47" s="70">
        <v>1.905395583333333</v>
      </c>
      <c r="N47" s="75">
        <v>0</v>
      </c>
      <c r="O47" s="75">
        <v>39.6667</v>
      </c>
      <c r="P47" s="70">
        <v>0.9916666666666667</v>
      </c>
      <c r="Q47" s="75">
        <f>K47*TK_MaterialMU+L47*TK_LaborMU+N47*TK_MaterialMU2+O47*TK_LaborMU2</f>
        <v>32.30467</v>
      </c>
      <c r="R47" s="75">
        <f>(K47+L47+N47+O47+Q47)*TK_FeeMU</f>
        <v>80.067735</v>
      </c>
      <c r="S47" s="75">
        <f>SUM(K47+L47+N47+O47+Q47+R47)</f>
        <v>240.203205</v>
      </c>
      <c r="T47" s="75">
        <f>IF(Total_SimpleSell=0,0,S47/Total_SimpleSell*Total_GC)</f>
        <v>0</v>
      </c>
      <c r="U47" s="75">
        <f>(K47*(TK_MaterialMU+1)*TK_TaxRateMaterial+L47*(TK_LaborMU+1)*TK_TaxRateLabor+N47*(TK_MaterialMU2+1)*TK_TaxRateMaterial2+O47*(TK_LaborMU2+1)*TK_TaxRateLabor2+R47*TK_TaxRateProfit+T47*TaxRateGC)</f>
        <v>0</v>
      </c>
      <c r="V47" s="75">
        <f>SUM(S47+T47+U47)</f>
        <v>240.203205</v>
      </c>
    </row>
    <row r="48" spans="2:22" ht="12.75" outlineLevel="1">
      <c r="B48" s="65">
        <v>24</v>
      </c>
      <c r="C48" s="65">
        <v>2</v>
      </c>
      <c r="D48" s="65" t="s">
        <v>256</v>
      </c>
      <c r="E48" s="65" t="s">
        <v>257</v>
      </c>
      <c r="F48" s="65" t="s">
        <v>249</v>
      </c>
      <c r="G48" s="65"/>
      <c r="H48" s="65" t="s">
        <v>217</v>
      </c>
      <c r="I48" s="65" t="s">
        <v>223</v>
      </c>
      <c r="J48" s="70">
        <v>5.171999999999999</v>
      </c>
      <c r="K48" s="75">
        <v>3.8071</v>
      </c>
      <c r="L48" s="75">
        <v>10.9505</v>
      </c>
      <c r="M48" s="70">
        <v>0.5475260000000001</v>
      </c>
      <c r="N48" s="75">
        <v>0</v>
      </c>
      <c r="O48" s="75">
        <v>10</v>
      </c>
      <c r="P48" s="70">
        <v>0.25</v>
      </c>
      <c r="Q48" s="75">
        <f>K48*TK_MaterialMU+L48*TK_LaborMU+N48*TK_MaterialMU2+O48*TK_LaborMU2</f>
        <v>7.66586</v>
      </c>
      <c r="R48" s="75">
        <f>(K48+L48+N48+O48+Q48)*TK_FeeMU</f>
        <v>16.21173</v>
      </c>
      <c r="S48" s="75">
        <f>SUM(K48+L48+N48+O48+Q48+R48)</f>
        <v>48.635189999999994</v>
      </c>
      <c r="T48" s="75">
        <f>IF(Total_SimpleSell=0,0,S48/Total_SimpleSell*Total_GC)</f>
        <v>0</v>
      </c>
      <c r="U48" s="75">
        <f>(K48*(TK_MaterialMU+1)*TK_TaxRateMaterial+L48*(TK_LaborMU+1)*TK_TaxRateLabor+N48*(TK_MaterialMU2+1)*TK_TaxRateMaterial2+O48*(TK_LaborMU2+1)*TK_TaxRateLabor2+R48*TK_TaxRateProfit+T48*TaxRateGC)</f>
        <v>0</v>
      </c>
      <c r="V48" s="75">
        <f>SUM(S48+T48+U48)</f>
        <v>48.635189999999994</v>
      </c>
    </row>
    <row r="49" spans="2:22" ht="12.75" outlineLevel="1">
      <c r="B49" s="65">
        <v>25</v>
      </c>
      <c r="C49" s="65">
        <v>2</v>
      </c>
      <c r="D49" s="65" t="s">
        <v>258</v>
      </c>
      <c r="E49" s="65" t="s">
        <v>259</v>
      </c>
      <c r="F49" s="65" t="s">
        <v>249</v>
      </c>
      <c r="G49" s="65"/>
      <c r="H49" s="65" t="s">
        <v>217</v>
      </c>
      <c r="I49" s="65" t="s">
        <v>223</v>
      </c>
      <c r="J49" s="70">
        <v>151.984</v>
      </c>
      <c r="K49" s="75">
        <v>123.2909</v>
      </c>
      <c r="L49" s="75">
        <v>57.8982</v>
      </c>
      <c r="M49" s="70">
        <v>2.894908</v>
      </c>
      <c r="N49" s="75">
        <v>0</v>
      </c>
      <c r="O49" s="75">
        <v>30</v>
      </c>
      <c r="P49" s="70">
        <v>0.75</v>
      </c>
      <c r="Q49" s="75">
        <f>K49*TK_MaterialMU+L49*TK_LaborMU+N49*TK_MaterialMU2+O49*TK_LaborMU2</f>
        <v>41.69855</v>
      </c>
      <c r="R49" s="75">
        <f>(K49+L49+N49+O49+Q49)*TK_FeeMU</f>
        <v>126.443825</v>
      </c>
      <c r="S49" s="75">
        <f>SUM(K49+L49+N49+O49+Q49+R49)</f>
        <v>379.331475</v>
      </c>
      <c r="T49" s="75">
        <f>IF(Total_SimpleSell=0,0,S49/Total_SimpleSell*Total_GC)</f>
        <v>0</v>
      </c>
      <c r="U49" s="75">
        <f>(K49*(TK_MaterialMU+1)*TK_TaxRateMaterial+L49*(TK_LaborMU+1)*TK_TaxRateLabor+N49*(TK_MaterialMU2+1)*TK_TaxRateMaterial2+O49*(TK_LaborMU2+1)*TK_TaxRateLabor2+R49*TK_TaxRateProfit+T49*TaxRateGC)</f>
        <v>0</v>
      </c>
      <c r="V49" s="75">
        <f>SUM(S49+T49+U49)</f>
        <v>379.331475</v>
      </c>
    </row>
    <row r="50" spans="2:22" ht="12.75">
      <c r="B50" s="66"/>
      <c r="C50" s="66">
        <f>SUBTOTAL(9,C44:C49)</f>
        <v>9</v>
      </c>
      <c r="D50" s="66"/>
      <c r="E50" s="66"/>
      <c r="F50" s="66"/>
      <c r="G50" s="66"/>
      <c r="H50" s="66"/>
      <c r="I50" s="66"/>
      <c r="J50" s="71">
        <f>SUBTOTAL(9,J44:J49)</f>
        <v>442.46438888888895</v>
      </c>
      <c r="K50" s="76">
        <f>SUBTOTAL(9,K44:K49)</f>
        <v>352.23019999999997</v>
      </c>
      <c r="L50" s="76">
        <f>SUBTOTAL(9,L44:L49)</f>
        <v>216.02870000000001</v>
      </c>
      <c r="M50" s="71">
        <f>SUBTOTAL(9,M44:M49)</f>
        <v>10.80143454166667</v>
      </c>
      <c r="N50" s="76">
        <f>SUBTOTAL(9,N44:N49)</f>
        <v>0</v>
      </c>
      <c r="O50" s="76">
        <f>SUBTOTAL(9,O44:O49)</f>
        <v>129.6667</v>
      </c>
      <c r="P50" s="71">
        <f>SUBTOTAL(9,P44:P49)</f>
        <v>3.2416666666666667</v>
      </c>
      <c r="Q50" s="76">
        <f>SUBTOTAL(9,Q44:Q49)</f>
        <v>151.89830999999998</v>
      </c>
      <c r="R50" s="76">
        <f>SUBTOTAL(9,R44:R49)</f>
        <v>424.911955</v>
      </c>
      <c r="S50" s="76">
        <f>SUBTOTAL(9,S44:S49)</f>
        <v>1274.735865</v>
      </c>
      <c r="T50" s="76">
        <f>SUBTOTAL(9,T44:T49)</f>
        <v>0</v>
      </c>
      <c r="U50" s="76">
        <f>SUBTOTAL(9,U44:U49)</f>
        <v>0</v>
      </c>
      <c r="V50" s="76">
        <f>SUBTOTAL(9,V44:V49)</f>
        <v>1274.735865</v>
      </c>
    </row>
    <row r="51" spans="10:22" ht="12.75">
      <c r="J51" s="45"/>
      <c r="K51" s="73"/>
      <c r="L51" s="73"/>
      <c r="M51" s="45"/>
      <c r="N51" s="73"/>
      <c r="O51" s="73"/>
      <c r="P51" s="45"/>
      <c r="Q51" s="73"/>
      <c r="R51" s="73"/>
      <c r="S51" s="73"/>
      <c r="T51" s="73"/>
      <c r="U51" s="73"/>
      <c r="V51" s="73"/>
    </row>
    <row r="52" spans="4:22" ht="12.75">
      <c r="D52" s="67" t="s">
        <v>260</v>
      </c>
      <c r="E52" s="68"/>
      <c r="F52" s="68"/>
      <c r="G52" s="68"/>
      <c r="H52" s="68"/>
      <c r="I52" s="68"/>
      <c r="J52" s="72">
        <f>SUBTOTAL(9,J10:J51)</f>
        <v>3403.9180694444444</v>
      </c>
      <c r="K52" s="77">
        <f>SUBTOTAL(9,K10:K51)</f>
        <v>4485.539599999999</v>
      </c>
      <c r="L52" s="77">
        <f>SUBTOTAL(9,L10:L51)</f>
        <v>1302.7154</v>
      </c>
      <c r="M52" s="72">
        <f>SUBTOTAL(9,M10:M51)</f>
        <v>65.1357616736111</v>
      </c>
      <c r="N52" s="77">
        <f>SUBTOTAL(9,N10:N51)</f>
        <v>1000</v>
      </c>
      <c r="O52" s="77">
        <f>SUBTOTAL(9,O10:O51)</f>
        <v>4250.3333999999995</v>
      </c>
      <c r="P52" s="72">
        <f>SUBTOTAL(9,P10:P51)</f>
        <v>106.25833333333333</v>
      </c>
      <c r="Q52" s="77">
        <f>SUBTOTAL(9,Q10:Q51)</f>
        <v>2739.50194</v>
      </c>
      <c r="R52" s="77">
        <f>SUBTOTAL(9,R10:R51)</f>
        <v>6889.045170000001</v>
      </c>
      <c r="S52" s="77">
        <f>SUBTOTAL(9,S10:S51)</f>
        <v>20667.135510000004</v>
      </c>
      <c r="T52" s="77">
        <f>SUBTOTAL(9,T10:T51)</f>
        <v>0</v>
      </c>
      <c r="U52" s="77">
        <f>SUBTOTAL(9,U10:U51)</f>
        <v>0</v>
      </c>
      <c r="V52" s="78">
        <f>SUBTOTAL(9,V10:V51)</f>
        <v>20667.135510000004</v>
      </c>
    </row>
    <row r="53" spans="10:22" ht="12.75">
      <c r="J53" s="45"/>
      <c r="K53" s="73"/>
      <c r="L53" s="73"/>
      <c r="M53" s="45"/>
      <c r="N53" s="73"/>
      <c r="O53" s="73"/>
      <c r="P53" s="45"/>
      <c r="Q53" s="73"/>
      <c r="R53" s="73"/>
      <c r="S53" s="73"/>
      <c r="T53" s="73"/>
      <c r="U53" s="73"/>
      <c r="V53" s="73"/>
    </row>
    <row r="54" spans="1:22" ht="15.75">
      <c r="A54" s="63" t="s">
        <v>10</v>
      </c>
      <c r="J54" s="45"/>
      <c r="K54" s="73"/>
      <c r="L54" s="73"/>
      <c r="M54" s="45"/>
      <c r="N54" s="73"/>
      <c r="O54" s="73"/>
      <c r="P54" s="45"/>
      <c r="Q54" s="73"/>
      <c r="R54" s="73"/>
      <c r="S54" s="73"/>
      <c r="T54" s="73"/>
      <c r="U54" s="73"/>
      <c r="V54" s="73"/>
    </row>
    <row r="55" spans="4:22" ht="12.75">
      <c r="D55" t="s">
        <v>261</v>
      </c>
      <c r="F55" t="s">
        <v>262</v>
      </c>
      <c r="I55" t="s">
        <v>263</v>
      </c>
      <c r="J55" s="45"/>
      <c r="K55" s="73">
        <v>450</v>
      </c>
      <c r="L55" s="73"/>
      <c r="M55" s="45"/>
      <c r="N55" s="73"/>
      <c r="O55" s="73"/>
      <c r="P55" s="45"/>
      <c r="Q55" s="73">
        <f>K55*TK_SubContractsMU</f>
        <v>270</v>
      </c>
      <c r="R55" s="73"/>
      <c r="S55" s="73">
        <f>K55+Q55</f>
        <v>720</v>
      </c>
      <c r="T55" s="73"/>
      <c r="U55" s="73">
        <f>S55*TK_TaxRateBO</f>
        <v>0</v>
      </c>
      <c r="V55" s="73">
        <f>S55+U55</f>
        <v>720</v>
      </c>
    </row>
    <row r="56" spans="10:22" ht="12.75">
      <c r="J56" s="45"/>
      <c r="K56" s="79">
        <f>SUBTOTAL(9,K54:K55)</f>
        <v>450</v>
      </c>
      <c r="L56" s="79"/>
      <c r="M56" s="80"/>
      <c r="N56" s="79"/>
      <c r="O56" s="79"/>
      <c r="P56" s="80"/>
      <c r="Q56" s="79">
        <f>SUBTOTAL(9,Q54:Q55)</f>
        <v>270</v>
      </c>
      <c r="R56" s="79"/>
      <c r="S56" s="79">
        <f>SUBTOTAL(9,S54:S55)</f>
        <v>720</v>
      </c>
      <c r="T56" s="79"/>
      <c r="U56" s="79">
        <f>SUBTOTAL(9,U54:U55)</f>
        <v>0</v>
      </c>
      <c r="V56" s="79">
        <f>SUBTOTAL(9,V54:V55)</f>
        <v>720</v>
      </c>
    </row>
    <row r="57" spans="10:22" ht="12.75">
      <c r="J57" s="45"/>
      <c r="K57" s="73"/>
      <c r="L57" s="73"/>
      <c r="M57" s="45"/>
      <c r="N57" s="73"/>
      <c r="O57" s="73"/>
      <c r="P57" s="45"/>
      <c r="Q57" s="73"/>
      <c r="R57" s="73"/>
      <c r="S57" s="73"/>
      <c r="T57" s="73"/>
      <c r="U57" s="73"/>
      <c r="V57" s="73"/>
    </row>
    <row r="58" spans="1:22" ht="15.75">
      <c r="A58" s="63" t="s">
        <v>7</v>
      </c>
      <c r="J58" s="45"/>
      <c r="K58" s="73"/>
      <c r="L58" s="73"/>
      <c r="M58" s="45"/>
      <c r="N58" s="73"/>
      <c r="O58" s="73"/>
      <c r="P58" s="45"/>
      <c r="Q58" s="73"/>
      <c r="R58" s="73"/>
      <c r="S58" s="73"/>
      <c r="T58" s="73"/>
      <c r="U58" s="73"/>
      <c r="V58" s="73"/>
    </row>
    <row r="59" spans="4:22" ht="12.75">
      <c r="D59" t="s">
        <v>264</v>
      </c>
      <c r="J59" s="45"/>
      <c r="K59" s="73">
        <v>750</v>
      </c>
      <c r="L59" s="73"/>
      <c r="M59" s="45"/>
      <c r="N59" s="73"/>
      <c r="O59" s="73"/>
      <c r="P59" s="45"/>
      <c r="Q59" s="73"/>
      <c r="R59" s="73"/>
      <c r="S59" s="73">
        <f>K59+Q59</f>
        <v>750</v>
      </c>
      <c r="T59" s="73"/>
      <c r="U59" s="73">
        <f>S59*TaxRateAllowance</f>
        <v>0</v>
      </c>
      <c r="V59" s="73">
        <f>S59+U59</f>
        <v>750</v>
      </c>
    </row>
    <row r="60" spans="10:22" ht="12.75">
      <c r="J60" s="45"/>
      <c r="K60" s="79">
        <f>SUBTOTAL(9,K58:K59)</f>
        <v>750</v>
      </c>
      <c r="L60" s="79"/>
      <c r="M60" s="80"/>
      <c r="N60" s="79"/>
      <c r="O60" s="79"/>
      <c r="P60" s="80"/>
      <c r="Q60" s="79"/>
      <c r="R60" s="79"/>
      <c r="S60" s="79">
        <f>SUBTOTAL(9,S58:S59)</f>
        <v>750</v>
      </c>
      <c r="T60" s="79"/>
      <c r="U60" s="79">
        <f>SUBTOTAL(9,U58:U59)</f>
        <v>0</v>
      </c>
      <c r="V60" s="79">
        <f>SUBTOTAL(9,V58:V59)</f>
        <v>750</v>
      </c>
    </row>
    <row r="61" spans="10:22" ht="12.75">
      <c r="J61" s="45"/>
      <c r="K61" s="73"/>
      <c r="L61" s="73"/>
      <c r="M61" s="45"/>
      <c r="N61" s="73"/>
      <c r="O61" s="73"/>
      <c r="P61" s="45"/>
      <c r="Q61" s="73"/>
      <c r="R61" s="73"/>
      <c r="S61" s="73"/>
      <c r="T61" s="73"/>
      <c r="U61" s="73"/>
      <c r="V61" s="73"/>
    </row>
    <row r="62" spans="10:22" ht="12.75">
      <c r="J62" s="45"/>
      <c r="K62" s="73"/>
      <c r="L62" s="73"/>
      <c r="M62" s="45"/>
      <c r="N62" s="73"/>
      <c r="O62" s="73"/>
      <c r="P62" s="45"/>
      <c r="Q62" s="73"/>
      <c r="R62" s="73"/>
      <c r="S62" s="73"/>
      <c r="T62" s="73"/>
      <c r="U62" s="73"/>
      <c r="V62" s="73"/>
    </row>
    <row r="63" spans="4:22" ht="12.75">
      <c r="D63" s="67" t="s">
        <v>265</v>
      </c>
      <c r="E63" s="68"/>
      <c r="F63" s="68"/>
      <c r="G63" s="68"/>
      <c r="H63" s="68"/>
      <c r="I63" s="68"/>
      <c r="J63" s="72">
        <f>SUBTOTAL(9,J10:J62)</f>
        <v>3403.9180694444444</v>
      </c>
      <c r="K63" s="77">
        <f>SUBTOTAL(9,K10:K62)</f>
        <v>5685.539599999999</v>
      </c>
      <c r="L63" s="77">
        <f>SUBTOTAL(9,L10:L62)</f>
        <v>1302.7154</v>
      </c>
      <c r="M63" s="72">
        <f>SUBTOTAL(9,M10:M62)</f>
        <v>65.1357616736111</v>
      </c>
      <c r="N63" s="77">
        <f>SUBTOTAL(9,N10:N62)</f>
        <v>1000</v>
      </c>
      <c r="O63" s="77">
        <f>SUBTOTAL(9,O10:O62)</f>
        <v>4250.3333999999995</v>
      </c>
      <c r="P63" s="72">
        <f>SUBTOTAL(9,P10:P62)</f>
        <v>106.25833333333333</v>
      </c>
      <c r="Q63" s="77">
        <f>SUBTOTAL(9,Q10:Q62)</f>
        <v>3009.50194</v>
      </c>
      <c r="R63" s="77">
        <f>SUBTOTAL(9,R10:R62)</f>
        <v>6889.045170000001</v>
      </c>
      <c r="S63" s="77">
        <f>SUBTOTAL(9,S10:S62)</f>
        <v>22137.135510000004</v>
      </c>
      <c r="T63" s="77">
        <f>SUBTOTAL(9,T10:T62)</f>
        <v>0</v>
      </c>
      <c r="U63" s="77">
        <f>SUBTOTAL(9,U10:U62)</f>
        <v>0</v>
      </c>
      <c r="V63" s="78">
        <f>SUBTOTAL(9,V10:V62)</f>
        <v>22137.135510000004</v>
      </c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Jewellers&amp;CTakeoff location list&amp;R&amp;P/&amp;N</oddHeader>
    <oddFooter>&amp;LCompany&amp;RWednesday, November 5, 2014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workbookViewId="0" topLeftCell="A1">
      <selection activeCell="A1" sqref="A1"/>
    </sheetView>
  </sheetViews>
  <sheetFormatPr defaultColWidth="9.140625" defaultRowHeight="12.75" outlineLevelRow="1" outlineLevelCol="1"/>
  <cols>
    <col min="1" max="1" width="24.8515625" style="0" bestFit="1" customWidth="1"/>
    <col min="2" max="2" width="6.8515625" style="0" bestFit="1" customWidth="1"/>
    <col min="3" max="3" width="5.28125" style="0" bestFit="1" customWidth="1"/>
    <col min="4" max="4" width="35.00390625" style="0" bestFit="1" customWidth="1"/>
    <col min="5" max="5" width="11.57421875" style="0" bestFit="1" customWidth="1" outlineLevel="1"/>
    <col min="6" max="6" width="30.28125" style="0" bestFit="1" customWidth="1" outlineLevel="1"/>
    <col min="7" max="7" width="13.57421875" style="0" bestFit="1" customWidth="1" outlineLevel="1"/>
    <col min="8" max="8" width="17.28125" style="0" bestFit="1" customWidth="1" outlineLevel="1"/>
    <col min="9" max="9" width="18.00390625" style="0" bestFit="1" customWidth="1"/>
    <col min="10" max="10" width="8.14062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00390625" style="0" bestFit="1" customWidth="1" outlineLevel="1"/>
    <col min="17" max="17" width="7.7109375" style="0" bestFit="1" customWidth="1" outlineLevel="1"/>
    <col min="18" max="18" width="9.140625" style="0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219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2:22" ht="12.75">
      <c r="B11" s="64" t="s">
        <v>196</v>
      </c>
      <c r="C11" s="64" t="s">
        <v>197</v>
      </c>
      <c r="D11" s="64" t="s">
        <v>198</v>
      </c>
      <c r="E11" s="64" t="s">
        <v>199</v>
      </c>
      <c r="F11" s="64" t="s">
        <v>200</v>
      </c>
      <c r="G11" s="64" t="s">
        <v>201</v>
      </c>
      <c r="H11" s="64" t="s">
        <v>202</v>
      </c>
      <c r="I11" s="64" t="s">
        <v>203</v>
      </c>
      <c r="J11" s="69" t="s">
        <v>204</v>
      </c>
      <c r="K11" s="74" t="s">
        <v>205</v>
      </c>
      <c r="L11" s="74" t="s">
        <v>206</v>
      </c>
      <c r="M11" s="69" t="s">
        <v>207</v>
      </c>
      <c r="N11" s="74" t="s">
        <v>208</v>
      </c>
      <c r="O11" s="74" t="s">
        <v>209</v>
      </c>
      <c r="P11" s="69" t="s">
        <v>210</v>
      </c>
      <c r="Q11" s="74" t="s">
        <v>14</v>
      </c>
      <c r="R11" s="74" t="s">
        <v>12</v>
      </c>
      <c r="S11" s="74" t="s">
        <v>211</v>
      </c>
      <c r="T11" s="74" t="s">
        <v>212</v>
      </c>
      <c r="U11" s="74" t="s">
        <v>3</v>
      </c>
      <c r="V11" s="74" t="s">
        <v>213</v>
      </c>
    </row>
    <row r="12" spans="2:22" ht="12.75" outlineLevel="1">
      <c r="B12" s="65">
        <v>2</v>
      </c>
      <c r="C12" s="65">
        <v>2</v>
      </c>
      <c r="D12" s="65" t="s">
        <v>220</v>
      </c>
      <c r="E12" s="65" t="s">
        <v>221</v>
      </c>
      <c r="F12" s="65" t="s">
        <v>222</v>
      </c>
      <c r="G12" s="65"/>
      <c r="H12" s="65" t="s">
        <v>217</v>
      </c>
      <c r="I12" s="65" t="s">
        <v>223</v>
      </c>
      <c r="J12" s="70">
        <v>186.7</v>
      </c>
      <c r="K12" s="75">
        <v>352.2682</v>
      </c>
      <c r="L12" s="75">
        <v>147.3417</v>
      </c>
      <c r="M12" s="70">
        <v>7.367084</v>
      </c>
      <c r="N12" s="75">
        <v>0</v>
      </c>
      <c r="O12" s="75">
        <v>40</v>
      </c>
      <c r="P12" s="70">
        <v>1</v>
      </c>
      <c r="Q12" s="75">
        <f>K12*PH_Phase_1_MaterialMU+L12*PH_Phase_1_LaborMU+N12*PH_Phase_1_MaterialMU2+O12*PH_Phase_1_LaborMU2</f>
        <v>95.42933</v>
      </c>
      <c r="R12" s="75">
        <f>(K12+L12+N12+O12+Q12)*PH_Phase_1_FeeMU</f>
        <v>317.51961499999993</v>
      </c>
      <c r="S12" s="75">
        <f>SUM(K12+L12+N12+O12+Q12+R12)</f>
        <v>952.5588449999998</v>
      </c>
      <c r="T12" s="75">
        <f>IF(Total_SimpleSell=0,0,S12/Total_SimpleSell*Total_GC)</f>
        <v>0</v>
      </c>
      <c r="U12" s="75">
        <f>(K12*(PH_Phase_1_MaterialMU+1)*PH_Phase_1_TaxRateMaterial+L12*(PH_Phase_1_LaborMU+1)*PH_Phase_1_TaxRateLabor+N12*(PH_Phase_1_MaterialMU2+1)*PH_Phase_1_TaxRateMaterial2+O12*(PH_Phase_1_LaborMU2+1)*PH_Phase_1_TaxRateLabor2+R12*PH_Phase_1_TaxRateProfit+T12*TaxRateGC)</f>
        <v>0</v>
      </c>
      <c r="V12" s="75">
        <f>SUM(S12+T12+U12)</f>
        <v>952.5588449999998</v>
      </c>
    </row>
    <row r="13" spans="2:22" ht="12.75" outlineLevel="1">
      <c r="B13" s="65">
        <v>3</v>
      </c>
      <c r="C13" s="65">
        <v>1</v>
      </c>
      <c r="D13" s="65" t="s">
        <v>224</v>
      </c>
      <c r="E13" s="65" t="s">
        <v>225</v>
      </c>
      <c r="F13" s="65" t="s">
        <v>222</v>
      </c>
      <c r="G13" s="65"/>
      <c r="H13" s="65" t="s">
        <v>217</v>
      </c>
      <c r="I13" s="65" t="s">
        <v>223</v>
      </c>
      <c r="J13" s="70">
        <v>84.09166666666668</v>
      </c>
      <c r="K13" s="75">
        <v>148.6339</v>
      </c>
      <c r="L13" s="75">
        <v>55.8213</v>
      </c>
      <c r="M13" s="70">
        <v>2.7910647500000003</v>
      </c>
      <c r="N13" s="75">
        <v>0</v>
      </c>
      <c r="O13" s="75">
        <v>20</v>
      </c>
      <c r="P13" s="70">
        <v>0.5</v>
      </c>
      <c r="Q13" s="75">
        <f>K13*PH_Phase_1_MaterialMU+L13*PH_Phase_1_LaborMU+N13*PH_Phase_1_MaterialMU2+O13*PH_Phase_1_LaborMU2</f>
        <v>39.60978</v>
      </c>
      <c r="R13" s="75">
        <f>(K13+L13+N13+O13+Q13)*PH_Phase_1_FeeMU</f>
        <v>132.03249</v>
      </c>
      <c r="S13" s="75">
        <f>SUM(K13+L13+N13+O13+Q13+R13)</f>
        <v>396.09747</v>
      </c>
      <c r="T13" s="75">
        <f>IF(Total_SimpleSell=0,0,S13/Total_SimpleSell*Total_GC)</f>
        <v>0</v>
      </c>
      <c r="U13" s="75">
        <f>(K13*(PH_Phase_1_MaterialMU+1)*PH_Phase_1_TaxRateMaterial+L13*(PH_Phase_1_LaborMU+1)*PH_Phase_1_TaxRateLabor+N13*(PH_Phase_1_MaterialMU2+1)*PH_Phase_1_TaxRateMaterial2+O13*(PH_Phase_1_LaborMU2+1)*PH_Phase_1_TaxRateLabor2+R13*PH_Phase_1_TaxRateProfit+T13*TaxRateGC)</f>
        <v>0</v>
      </c>
      <c r="V13" s="75">
        <f>SUM(S13+T13+U13)</f>
        <v>396.09747</v>
      </c>
    </row>
    <row r="14" spans="2:22" ht="12.75" outlineLevel="1">
      <c r="B14" s="65">
        <v>4</v>
      </c>
      <c r="C14" s="65">
        <v>2</v>
      </c>
      <c r="D14" s="65" t="s">
        <v>224</v>
      </c>
      <c r="E14" s="65" t="s">
        <v>225</v>
      </c>
      <c r="F14" s="65" t="s">
        <v>222</v>
      </c>
      <c r="G14" s="65"/>
      <c r="H14" s="65" t="s">
        <v>217</v>
      </c>
      <c r="I14" s="65" t="s">
        <v>223</v>
      </c>
      <c r="J14" s="70">
        <v>153.98333333333335</v>
      </c>
      <c r="K14" s="75">
        <v>289.9408</v>
      </c>
      <c r="L14" s="75">
        <v>107.8248</v>
      </c>
      <c r="M14" s="70">
        <v>5.391239500000002</v>
      </c>
      <c r="N14" s="75">
        <v>0</v>
      </c>
      <c r="O14" s="75">
        <v>40</v>
      </c>
      <c r="P14" s="70">
        <v>1</v>
      </c>
      <c r="Q14" s="75">
        <f>K14*PH_Phase_1_MaterialMU+L14*PH_Phase_1_LaborMU+N14*PH_Phase_1_MaterialMU2+O14*PH_Phase_1_LaborMU2</f>
        <v>77.34152</v>
      </c>
      <c r="R14" s="75">
        <f>(K14+L14+N14+O14+Q14)*PH_Phase_1_FeeMU</f>
        <v>257.55356</v>
      </c>
      <c r="S14" s="75">
        <f>SUM(K14+L14+N14+O14+Q14+R14)</f>
        <v>772.66068</v>
      </c>
      <c r="T14" s="75">
        <f>IF(Total_SimpleSell=0,0,S14/Total_SimpleSell*Total_GC)</f>
        <v>0</v>
      </c>
      <c r="U14" s="75">
        <f>(K14*(PH_Phase_1_MaterialMU+1)*PH_Phase_1_TaxRateMaterial+L14*(PH_Phase_1_LaborMU+1)*PH_Phase_1_TaxRateLabor+N14*(PH_Phase_1_MaterialMU2+1)*PH_Phase_1_TaxRateMaterial2+O14*(PH_Phase_1_LaborMU2+1)*PH_Phase_1_TaxRateLabor2+R14*PH_Phase_1_TaxRateProfit+T14*TaxRateGC)</f>
        <v>0</v>
      </c>
      <c r="V14" s="75">
        <f>SUM(S14+T14+U14)</f>
        <v>772.66068</v>
      </c>
    </row>
    <row r="15" spans="2:22" ht="12.75" outlineLevel="1">
      <c r="B15" s="65">
        <v>5</v>
      </c>
      <c r="C15" s="65">
        <v>1</v>
      </c>
      <c r="D15" s="65" t="s">
        <v>224</v>
      </c>
      <c r="E15" s="65" t="s">
        <v>225</v>
      </c>
      <c r="F15" s="65" t="s">
        <v>222</v>
      </c>
      <c r="G15" s="65"/>
      <c r="H15" s="65" t="s">
        <v>217</v>
      </c>
      <c r="I15" s="65" t="s">
        <v>223</v>
      </c>
      <c r="J15" s="70">
        <v>84.09166666666668</v>
      </c>
      <c r="K15" s="75">
        <v>148.6339</v>
      </c>
      <c r="L15" s="75">
        <v>55.8213</v>
      </c>
      <c r="M15" s="70">
        <v>2.7910647500000003</v>
      </c>
      <c r="N15" s="75">
        <v>0</v>
      </c>
      <c r="O15" s="75">
        <v>20</v>
      </c>
      <c r="P15" s="70">
        <v>0.5</v>
      </c>
      <c r="Q15" s="75">
        <f>K15*PH_Phase_1_MaterialMU+L15*PH_Phase_1_LaborMU+N15*PH_Phase_1_MaterialMU2+O15*PH_Phase_1_LaborMU2</f>
        <v>39.60978</v>
      </c>
      <c r="R15" s="75">
        <f>(K15+L15+N15+O15+Q15)*PH_Phase_1_FeeMU</f>
        <v>132.03249</v>
      </c>
      <c r="S15" s="75">
        <f>SUM(K15+L15+N15+O15+Q15+R15)</f>
        <v>396.09747</v>
      </c>
      <c r="T15" s="75">
        <f>IF(Total_SimpleSell=0,0,S15/Total_SimpleSell*Total_GC)</f>
        <v>0</v>
      </c>
      <c r="U15" s="75">
        <f>(K15*(PH_Phase_1_MaterialMU+1)*PH_Phase_1_TaxRateMaterial+L15*(PH_Phase_1_LaborMU+1)*PH_Phase_1_TaxRateLabor+N15*(PH_Phase_1_MaterialMU2+1)*PH_Phase_1_TaxRateMaterial2+O15*(PH_Phase_1_LaborMU2+1)*PH_Phase_1_TaxRateLabor2+R15*PH_Phase_1_TaxRateProfit+T15*TaxRateGC)</f>
        <v>0</v>
      </c>
      <c r="V15" s="75">
        <f>SUM(S15+T15+U15)</f>
        <v>396.09747</v>
      </c>
    </row>
    <row r="16" spans="2:22" ht="12.75" outlineLevel="1">
      <c r="B16" s="65">
        <v>6</v>
      </c>
      <c r="C16" s="65">
        <v>1</v>
      </c>
      <c r="D16" s="65" t="s">
        <v>226</v>
      </c>
      <c r="E16" s="65" t="s">
        <v>227</v>
      </c>
      <c r="F16" s="65" t="s">
        <v>222</v>
      </c>
      <c r="G16" s="65" t="s">
        <v>228</v>
      </c>
      <c r="H16" s="65" t="s">
        <v>217</v>
      </c>
      <c r="I16" s="65" t="s">
        <v>223</v>
      </c>
      <c r="J16" s="70">
        <v>24.4</v>
      </c>
      <c r="K16" s="75">
        <v>31.4259</v>
      </c>
      <c r="L16" s="75">
        <v>3.4261</v>
      </c>
      <c r="M16" s="70">
        <v>0.171304</v>
      </c>
      <c r="N16" s="75">
        <v>0</v>
      </c>
      <c r="O16" s="75">
        <v>0</v>
      </c>
      <c r="P16" s="70">
        <v>0</v>
      </c>
      <c r="Q16" s="75">
        <f>K16*PH_Phase_1_MaterialMU+L16*PH_Phase_1_LaborMU+N16*PH_Phase_1_MaterialMU2+O16*PH_Phase_1_LaborMU2</f>
        <v>4.17042</v>
      </c>
      <c r="R16" s="75">
        <f>(K16+L16+N16+O16+Q16)*PH_Phase_1_FeeMU</f>
        <v>19.51121</v>
      </c>
      <c r="S16" s="75">
        <f>SUM(K16+L16+N16+O16+Q16+R16)</f>
        <v>58.533629999999995</v>
      </c>
      <c r="T16" s="75">
        <f>IF(Total_SimpleSell=0,0,S16/Total_SimpleSell*Total_GC)</f>
        <v>0</v>
      </c>
      <c r="U16" s="75">
        <f>(K16*(PH_Phase_1_MaterialMU+1)*PH_Phase_1_TaxRateMaterial+L16*(PH_Phase_1_LaborMU+1)*PH_Phase_1_TaxRateLabor+N16*(PH_Phase_1_MaterialMU2+1)*PH_Phase_1_TaxRateMaterial2+O16*(PH_Phase_1_LaborMU2+1)*PH_Phase_1_TaxRateLabor2+R16*PH_Phase_1_TaxRateProfit+T16*TaxRateGC)</f>
        <v>0</v>
      </c>
      <c r="V16" s="75">
        <f>SUM(S16+T16+U16)</f>
        <v>58.533629999999995</v>
      </c>
    </row>
    <row r="17" spans="2:22" ht="12.75" outlineLevel="1">
      <c r="B17" s="65">
        <v>7</v>
      </c>
      <c r="C17" s="65">
        <v>1</v>
      </c>
      <c r="D17" s="65" t="s">
        <v>229</v>
      </c>
      <c r="E17" s="65" t="s">
        <v>230</v>
      </c>
      <c r="F17" s="65" t="s">
        <v>216</v>
      </c>
      <c r="G17" s="65"/>
      <c r="H17" s="65" t="s">
        <v>217</v>
      </c>
      <c r="I17" s="65" t="s">
        <v>223</v>
      </c>
      <c r="J17" s="70">
        <v>43.617749999999994</v>
      </c>
      <c r="K17" s="75">
        <v>49.8059</v>
      </c>
      <c r="L17" s="75">
        <v>24.9107</v>
      </c>
      <c r="M17" s="70">
        <v>1.245534125</v>
      </c>
      <c r="N17" s="75">
        <v>0</v>
      </c>
      <c r="O17" s="75">
        <v>10</v>
      </c>
      <c r="P17" s="70">
        <v>0.25</v>
      </c>
      <c r="Q17" s="75">
        <f>K17*PH_Phase_1_MaterialMU+L17*PH_Phase_1_LaborMU+N17*PH_Phase_1_MaterialMU2+O17*PH_Phase_1_LaborMU2</f>
        <v>16.4538</v>
      </c>
      <c r="R17" s="75">
        <f>(K17+L17+N17+O17+Q17)*PH_Phase_1_FeeMU</f>
        <v>50.5852</v>
      </c>
      <c r="S17" s="75">
        <f>SUM(K17+L17+N17+O17+Q17+R17)</f>
        <v>151.75560000000002</v>
      </c>
      <c r="T17" s="75">
        <f>IF(Total_SimpleSell=0,0,S17/Total_SimpleSell*Total_GC)</f>
        <v>0</v>
      </c>
      <c r="U17" s="75">
        <f>(K17*(PH_Phase_1_MaterialMU+1)*PH_Phase_1_TaxRateMaterial+L17*(PH_Phase_1_LaborMU+1)*PH_Phase_1_TaxRateLabor+N17*(PH_Phase_1_MaterialMU2+1)*PH_Phase_1_TaxRateMaterial2+O17*(PH_Phase_1_LaborMU2+1)*PH_Phase_1_TaxRateLabor2+R17*PH_Phase_1_TaxRateProfit+T17*TaxRateGC)</f>
        <v>0</v>
      </c>
      <c r="V17" s="75">
        <f>SUM(S17+T17+U17)</f>
        <v>151.75560000000002</v>
      </c>
    </row>
    <row r="18" spans="2:22" ht="12.75">
      <c r="B18" s="66"/>
      <c r="C18" s="66">
        <f>SUBTOTAL(9,C12:C17)</f>
        <v>8</v>
      </c>
      <c r="D18" s="66"/>
      <c r="E18" s="66"/>
      <c r="F18" s="66"/>
      <c r="G18" s="66"/>
      <c r="H18" s="66"/>
      <c r="I18" s="66"/>
      <c r="J18" s="71">
        <f>SUBTOTAL(9,J12:J17)</f>
        <v>576.8844166666668</v>
      </c>
      <c r="K18" s="76">
        <f>SUBTOTAL(9,K12:K17)</f>
        <v>1020.7086</v>
      </c>
      <c r="L18" s="76">
        <f>SUBTOTAL(9,L12:L17)</f>
        <v>395.14590000000004</v>
      </c>
      <c r="M18" s="71">
        <f>SUBTOTAL(9,M12:M17)</f>
        <v>19.757291125000002</v>
      </c>
      <c r="N18" s="76">
        <f>SUBTOTAL(9,N12:N17)</f>
        <v>0</v>
      </c>
      <c r="O18" s="76">
        <f>SUBTOTAL(9,O12:O17)</f>
        <v>130</v>
      </c>
      <c r="P18" s="71">
        <f>SUBTOTAL(9,P12:P17)</f>
        <v>3.25</v>
      </c>
      <c r="Q18" s="76">
        <f>SUBTOTAL(9,Q12:Q17)</f>
        <v>272.61463</v>
      </c>
      <c r="R18" s="76">
        <f>SUBTOTAL(9,R12:R17)</f>
        <v>909.2345649999999</v>
      </c>
      <c r="S18" s="76">
        <f>SUBTOTAL(9,S12:S17)</f>
        <v>2727.7036949999997</v>
      </c>
      <c r="T18" s="76">
        <f>SUBTOTAL(9,T12:T17)</f>
        <v>0</v>
      </c>
      <c r="U18" s="76">
        <f>SUBTOTAL(9,U12:U17)</f>
        <v>0</v>
      </c>
      <c r="V18" s="76">
        <f>SUBTOTAL(9,V12:V17)</f>
        <v>2727.7036949999997</v>
      </c>
    </row>
    <row r="19" spans="10:22" ht="12.75">
      <c r="J19" s="45"/>
      <c r="K19" s="73"/>
      <c r="L19" s="73"/>
      <c r="M19" s="45"/>
      <c r="N19" s="73"/>
      <c r="O19" s="73"/>
      <c r="P19" s="45"/>
      <c r="Q19" s="73"/>
      <c r="R19" s="73"/>
      <c r="S19" s="73"/>
      <c r="T19" s="73"/>
      <c r="U19" s="73"/>
      <c r="V19" s="73"/>
    </row>
    <row r="20" spans="1:22" ht="15.75">
      <c r="A20" s="63" t="s">
        <v>231</v>
      </c>
      <c r="J20" s="45"/>
      <c r="K20" s="73"/>
      <c r="L20" s="73"/>
      <c r="M20" s="45"/>
      <c r="N20" s="73"/>
      <c r="O20" s="73"/>
      <c r="P20" s="45"/>
      <c r="Q20" s="73"/>
      <c r="R20" s="73"/>
      <c r="S20" s="73"/>
      <c r="T20" s="73"/>
      <c r="U20" s="73"/>
      <c r="V20" s="73"/>
    </row>
    <row r="21" spans="2:22" ht="12.75">
      <c r="B21" s="64" t="s">
        <v>196</v>
      </c>
      <c r="C21" s="64" t="s">
        <v>197</v>
      </c>
      <c r="D21" s="64" t="s">
        <v>198</v>
      </c>
      <c r="E21" s="64" t="s">
        <v>199</v>
      </c>
      <c r="F21" s="64" t="s">
        <v>200</v>
      </c>
      <c r="G21" s="64" t="s">
        <v>201</v>
      </c>
      <c r="H21" s="64" t="s">
        <v>202</v>
      </c>
      <c r="I21" s="64" t="s">
        <v>203</v>
      </c>
      <c r="J21" s="69" t="s">
        <v>204</v>
      </c>
      <c r="K21" s="74" t="s">
        <v>205</v>
      </c>
      <c r="L21" s="74" t="s">
        <v>206</v>
      </c>
      <c r="M21" s="69" t="s">
        <v>207</v>
      </c>
      <c r="N21" s="74" t="s">
        <v>208</v>
      </c>
      <c r="O21" s="74" t="s">
        <v>209</v>
      </c>
      <c r="P21" s="69" t="s">
        <v>210</v>
      </c>
      <c r="Q21" s="74" t="s">
        <v>14</v>
      </c>
      <c r="R21" s="74" t="s">
        <v>12</v>
      </c>
      <c r="S21" s="74" t="s">
        <v>211</v>
      </c>
      <c r="T21" s="74" t="s">
        <v>212</v>
      </c>
      <c r="U21" s="74" t="s">
        <v>3</v>
      </c>
      <c r="V21" s="74" t="s">
        <v>213</v>
      </c>
    </row>
    <row r="22" spans="2:22" ht="12.75" outlineLevel="1">
      <c r="B22" s="65">
        <v>9</v>
      </c>
      <c r="C22" s="65">
        <v>2</v>
      </c>
      <c r="D22" s="65" t="s">
        <v>220</v>
      </c>
      <c r="E22" s="65" t="s">
        <v>221</v>
      </c>
      <c r="F22" s="65" t="s">
        <v>222</v>
      </c>
      <c r="G22" s="65"/>
      <c r="H22" s="65" t="s">
        <v>217</v>
      </c>
      <c r="I22" s="65" t="s">
        <v>223</v>
      </c>
      <c r="J22" s="70">
        <v>186.7</v>
      </c>
      <c r="K22" s="75">
        <v>352.2682</v>
      </c>
      <c r="L22" s="75">
        <v>147.3417</v>
      </c>
      <c r="M22" s="70">
        <v>7.367084</v>
      </c>
      <c r="N22" s="75">
        <v>0</v>
      </c>
      <c r="O22" s="75">
        <v>40</v>
      </c>
      <c r="P22" s="70">
        <v>1</v>
      </c>
      <c r="Q22" s="75">
        <f>K22*PH_Phase_1_MaterialMU+L22*PH_Phase_1_LaborMU+N22*PH_Phase_1_MaterialMU2+O22*PH_Phase_1_LaborMU2</f>
        <v>95.42933</v>
      </c>
      <c r="R22" s="75">
        <f>(K22+L22+N22+O22+Q22)*PH_Phase_1_FeeMU</f>
        <v>317.51961499999993</v>
      </c>
      <c r="S22" s="75">
        <f>SUM(K22+L22+N22+O22+Q22+R22)</f>
        <v>952.5588449999998</v>
      </c>
      <c r="T22" s="75">
        <f>IF(Total_SimpleSell=0,0,S22/Total_SimpleSell*Total_GC)</f>
        <v>0</v>
      </c>
      <c r="U22" s="75">
        <f>(K22*(PH_Phase_1_MaterialMU+1)*PH_Phase_1_TaxRateMaterial+L22*(PH_Phase_1_LaborMU+1)*PH_Phase_1_TaxRateLabor+N22*(PH_Phase_1_MaterialMU2+1)*PH_Phase_1_TaxRateMaterial2+O22*(PH_Phase_1_LaborMU2+1)*PH_Phase_1_TaxRateLabor2+R22*PH_Phase_1_TaxRateProfit+T22*TaxRateGC)</f>
        <v>0</v>
      </c>
      <c r="V22" s="75">
        <f>SUM(S22+T22+U22)</f>
        <v>952.5588449999998</v>
      </c>
    </row>
    <row r="23" spans="2:22" ht="12.75" outlineLevel="1">
      <c r="B23" s="65">
        <v>10</v>
      </c>
      <c r="C23" s="65">
        <v>1</v>
      </c>
      <c r="D23" s="65" t="s">
        <v>224</v>
      </c>
      <c r="E23" s="65" t="s">
        <v>225</v>
      </c>
      <c r="F23" s="65" t="s">
        <v>222</v>
      </c>
      <c r="G23" s="65"/>
      <c r="H23" s="65" t="s">
        <v>217</v>
      </c>
      <c r="I23" s="65" t="s">
        <v>223</v>
      </c>
      <c r="J23" s="70">
        <v>84.09166666666668</v>
      </c>
      <c r="K23" s="75">
        <v>148.6339</v>
      </c>
      <c r="L23" s="75">
        <v>55.8213</v>
      </c>
      <c r="M23" s="70">
        <v>2.7910647500000003</v>
      </c>
      <c r="N23" s="75">
        <v>0</v>
      </c>
      <c r="O23" s="75">
        <v>20</v>
      </c>
      <c r="P23" s="70">
        <v>0.5</v>
      </c>
      <c r="Q23" s="75">
        <f>K23*PH_Phase_1_MaterialMU+L23*PH_Phase_1_LaborMU+N23*PH_Phase_1_MaterialMU2+O23*PH_Phase_1_LaborMU2</f>
        <v>39.60978</v>
      </c>
      <c r="R23" s="75">
        <f>(K23+L23+N23+O23+Q23)*PH_Phase_1_FeeMU</f>
        <v>132.03249</v>
      </c>
      <c r="S23" s="75">
        <f>SUM(K23+L23+N23+O23+Q23+R23)</f>
        <v>396.09747</v>
      </c>
      <c r="T23" s="75">
        <f>IF(Total_SimpleSell=0,0,S23/Total_SimpleSell*Total_GC)</f>
        <v>0</v>
      </c>
      <c r="U23" s="75">
        <f>(K23*(PH_Phase_1_MaterialMU+1)*PH_Phase_1_TaxRateMaterial+L23*(PH_Phase_1_LaborMU+1)*PH_Phase_1_TaxRateLabor+N23*(PH_Phase_1_MaterialMU2+1)*PH_Phase_1_TaxRateMaterial2+O23*(PH_Phase_1_LaborMU2+1)*PH_Phase_1_TaxRateLabor2+R23*PH_Phase_1_TaxRateProfit+T23*TaxRateGC)</f>
        <v>0</v>
      </c>
      <c r="V23" s="75">
        <f>SUM(S23+T23+U23)</f>
        <v>396.09747</v>
      </c>
    </row>
    <row r="24" spans="2:22" ht="12.75" outlineLevel="1">
      <c r="B24" s="65">
        <v>11</v>
      </c>
      <c r="C24" s="65">
        <v>2</v>
      </c>
      <c r="D24" s="65" t="s">
        <v>224</v>
      </c>
      <c r="E24" s="65" t="s">
        <v>225</v>
      </c>
      <c r="F24" s="65" t="s">
        <v>222</v>
      </c>
      <c r="G24" s="65"/>
      <c r="H24" s="65" t="s">
        <v>217</v>
      </c>
      <c r="I24" s="65" t="s">
        <v>223</v>
      </c>
      <c r="J24" s="70">
        <v>153.98333333333335</v>
      </c>
      <c r="K24" s="75">
        <v>289.9408</v>
      </c>
      <c r="L24" s="75">
        <v>107.8248</v>
      </c>
      <c r="M24" s="70">
        <v>5.391239500000002</v>
      </c>
      <c r="N24" s="75">
        <v>0</v>
      </c>
      <c r="O24" s="75">
        <v>40</v>
      </c>
      <c r="P24" s="70">
        <v>1</v>
      </c>
      <c r="Q24" s="75">
        <f>K24*PH_Phase_1_MaterialMU+L24*PH_Phase_1_LaborMU+N24*PH_Phase_1_MaterialMU2+O24*PH_Phase_1_LaborMU2</f>
        <v>77.34152</v>
      </c>
      <c r="R24" s="75">
        <f>(K24+L24+N24+O24+Q24)*PH_Phase_1_FeeMU</f>
        <v>257.55356</v>
      </c>
      <c r="S24" s="75">
        <f>SUM(K24+L24+N24+O24+Q24+R24)</f>
        <v>772.66068</v>
      </c>
      <c r="T24" s="75">
        <f>IF(Total_SimpleSell=0,0,S24/Total_SimpleSell*Total_GC)</f>
        <v>0</v>
      </c>
      <c r="U24" s="75">
        <f>(K24*(PH_Phase_1_MaterialMU+1)*PH_Phase_1_TaxRateMaterial+L24*(PH_Phase_1_LaborMU+1)*PH_Phase_1_TaxRateLabor+N24*(PH_Phase_1_MaterialMU2+1)*PH_Phase_1_TaxRateMaterial2+O24*(PH_Phase_1_LaborMU2+1)*PH_Phase_1_TaxRateLabor2+R24*PH_Phase_1_TaxRateProfit+T24*TaxRateGC)</f>
        <v>0</v>
      </c>
      <c r="V24" s="75">
        <f>SUM(S24+T24+U24)</f>
        <v>772.66068</v>
      </c>
    </row>
    <row r="25" spans="2:22" ht="12.75" outlineLevel="1">
      <c r="B25" s="65">
        <v>12</v>
      </c>
      <c r="C25" s="65">
        <v>1</v>
      </c>
      <c r="D25" s="65" t="s">
        <v>224</v>
      </c>
      <c r="E25" s="65" t="s">
        <v>225</v>
      </c>
      <c r="F25" s="65" t="s">
        <v>222</v>
      </c>
      <c r="G25" s="65"/>
      <c r="H25" s="65" t="s">
        <v>217</v>
      </c>
      <c r="I25" s="65" t="s">
        <v>223</v>
      </c>
      <c r="J25" s="70">
        <v>84.09166666666668</v>
      </c>
      <c r="K25" s="75">
        <v>148.6339</v>
      </c>
      <c r="L25" s="75">
        <v>55.8213</v>
      </c>
      <c r="M25" s="70">
        <v>2.7910647500000003</v>
      </c>
      <c r="N25" s="75">
        <v>0</v>
      </c>
      <c r="O25" s="75">
        <v>20</v>
      </c>
      <c r="P25" s="70">
        <v>0.5</v>
      </c>
      <c r="Q25" s="75">
        <f>K25*PH_Phase_1_MaterialMU+L25*PH_Phase_1_LaborMU+N25*PH_Phase_1_MaterialMU2+O25*PH_Phase_1_LaborMU2</f>
        <v>39.60978</v>
      </c>
      <c r="R25" s="75">
        <f>(K25+L25+N25+O25+Q25)*PH_Phase_1_FeeMU</f>
        <v>132.03249</v>
      </c>
      <c r="S25" s="75">
        <f>SUM(K25+L25+N25+O25+Q25+R25)</f>
        <v>396.09747</v>
      </c>
      <c r="T25" s="75">
        <f>IF(Total_SimpleSell=0,0,S25/Total_SimpleSell*Total_GC)</f>
        <v>0</v>
      </c>
      <c r="U25" s="75">
        <f>(K25*(PH_Phase_1_MaterialMU+1)*PH_Phase_1_TaxRateMaterial+L25*(PH_Phase_1_LaborMU+1)*PH_Phase_1_TaxRateLabor+N25*(PH_Phase_1_MaterialMU2+1)*PH_Phase_1_TaxRateMaterial2+O25*(PH_Phase_1_LaborMU2+1)*PH_Phase_1_TaxRateLabor2+R25*PH_Phase_1_TaxRateProfit+T25*TaxRateGC)</f>
        <v>0</v>
      </c>
      <c r="V25" s="75">
        <f>SUM(S25+T25+U25)</f>
        <v>396.09747</v>
      </c>
    </row>
    <row r="26" spans="2:22" ht="12.75" outlineLevel="1">
      <c r="B26" s="65">
        <v>13</v>
      </c>
      <c r="C26" s="65">
        <v>1</v>
      </c>
      <c r="D26" s="65" t="s">
        <v>226</v>
      </c>
      <c r="E26" s="65" t="s">
        <v>227</v>
      </c>
      <c r="F26" s="65" t="s">
        <v>222</v>
      </c>
      <c r="G26" s="65" t="s">
        <v>228</v>
      </c>
      <c r="H26" s="65" t="s">
        <v>217</v>
      </c>
      <c r="I26" s="65" t="s">
        <v>223</v>
      </c>
      <c r="J26" s="70">
        <v>24.4</v>
      </c>
      <c r="K26" s="75">
        <v>31.4259</v>
      </c>
      <c r="L26" s="75">
        <v>3.4261</v>
      </c>
      <c r="M26" s="70">
        <v>0.171304</v>
      </c>
      <c r="N26" s="75">
        <v>0</v>
      </c>
      <c r="O26" s="75">
        <v>0</v>
      </c>
      <c r="P26" s="70">
        <v>0</v>
      </c>
      <c r="Q26" s="75">
        <f>K26*PH_Phase_1_MaterialMU+L26*PH_Phase_1_LaborMU+N26*PH_Phase_1_MaterialMU2+O26*PH_Phase_1_LaborMU2</f>
        <v>4.17042</v>
      </c>
      <c r="R26" s="75">
        <f>(K26+L26+N26+O26+Q26)*PH_Phase_1_FeeMU</f>
        <v>19.51121</v>
      </c>
      <c r="S26" s="75">
        <f>SUM(K26+L26+N26+O26+Q26+R26)</f>
        <v>58.533629999999995</v>
      </c>
      <c r="T26" s="75">
        <f>IF(Total_SimpleSell=0,0,S26/Total_SimpleSell*Total_GC)</f>
        <v>0</v>
      </c>
      <c r="U26" s="75">
        <f>(K26*(PH_Phase_1_MaterialMU+1)*PH_Phase_1_TaxRateMaterial+L26*(PH_Phase_1_LaborMU+1)*PH_Phase_1_TaxRateLabor+N26*(PH_Phase_1_MaterialMU2+1)*PH_Phase_1_TaxRateMaterial2+O26*(PH_Phase_1_LaborMU2+1)*PH_Phase_1_TaxRateLabor2+R26*PH_Phase_1_TaxRateProfit+T26*TaxRateGC)</f>
        <v>0</v>
      </c>
      <c r="V26" s="75">
        <f>SUM(S26+T26+U26)</f>
        <v>58.533629999999995</v>
      </c>
    </row>
    <row r="27" spans="2:22" ht="12.75" outlineLevel="1">
      <c r="B27" s="65">
        <v>14</v>
      </c>
      <c r="C27" s="65">
        <v>1</v>
      </c>
      <c r="D27" s="65" t="s">
        <v>229</v>
      </c>
      <c r="E27" s="65" t="s">
        <v>230</v>
      </c>
      <c r="F27" s="65" t="s">
        <v>216</v>
      </c>
      <c r="G27" s="65"/>
      <c r="H27" s="65" t="s">
        <v>217</v>
      </c>
      <c r="I27" s="65" t="s">
        <v>223</v>
      </c>
      <c r="J27" s="70">
        <v>43.617749999999994</v>
      </c>
      <c r="K27" s="75">
        <v>49.8059</v>
      </c>
      <c r="L27" s="75">
        <v>24.9107</v>
      </c>
      <c r="M27" s="70">
        <v>1.245534125</v>
      </c>
      <c r="N27" s="75">
        <v>0</v>
      </c>
      <c r="O27" s="75">
        <v>10</v>
      </c>
      <c r="P27" s="70">
        <v>0.25</v>
      </c>
      <c r="Q27" s="75">
        <f>K27*PH_Phase_1_MaterialMU+L27*PH_Phase_1_LaborMU+N27*PH_Phase_1_MaterialMU2+O27*PH_Phase_1_LaborMU2</f>
        <v>16.4538</v>
      </c>
      <c r="R27" s="75">
        <f>(K27+L27+N27+O27+Q27)*PH_Phase_1_FeeMU</f>
        <v>50.5852</v>
      </c>
      <c r="S27" s="75">
        <f>SUM(K27+L27+N27+O27+Q27+R27)</f>
        <v>151.75560000000002</v>
      </c>
      <c r="T27" s="75">
        <f>IF(Total_SimpleSell=0,0,S27/Total_SimpleSell*Total_GC)</f>
        <v>0</v>
      </c>
      <c r="U27" s="75">
        <f>(K27*(PH_Phase_1_MaterialMU+1)*PH_Phase_1_TaxRateMaterial+L27*(PH_Phase_1_LaborMU+1)*PH_Phase_1_TaxRateLabor+N27*(PH_Phase_1_MaterialMU2+1)*PH_Phase_1_TaxRateMaterial2+O27*(PH_Phase_1_LaborMU2+1)*PH_Phase_1_TaxRateLabor2+R27*PH_Phase_1_TaxRateProfit+T27*TaxRateGC)</f>
        <v>0</v>
      </c>
      <c r="V27" s="75">
        <f>SUM(S27+T27+U27)</f>
        <v>151.75560000000002</v>
      </c>
    </row>
    <row r="28" spans="2:22" ht="12.75">
      <c r="B28" s="66"/>
      <c r="C28" s="66">
        <f>SUBTOTAL(9,C22:C27)</f>
        <v>8</v>
      </c>
      <c r="D28" s="66"/>
      <c r="E28" s="66"/>
      <c r="F28" s="66"/>
      <c r="G28" s="66"/>
      <c r="H28" s="66"/>
      <c r="I28" s="66"/>
      <c r="J28" s="71">
        <f>SUBTOTAL(9,J22:J27)</f>
        <v>576.8844166666668</v>
      </c>
      <c r="K28" s="76">
        <f>SUBTOTAL(9,K22:K27)</f>
        <v>1020.7086</v>
      </c>
      <c r="L28" s="76">
        <f>SUBTOTAL(9,L22:L27)</f>
        <v>395.14590000000004</v>
      </c>
      <c r="M28" s="71">
        <f>SUBTOTAL(9,M22:M27)</f>
        <v>19.757291125000002</v>
      </c>
      <c r="N28" s="76">
        <f>SUBTOTAL(9,N22:N27)</f>
        <v>0</v>
      </c>
      <c r="O28" s="76">
        <f>SUBTOTAL(9,O22:O27)</f>
        <v>130</v>
      </c>
      <c r="P28" s="71">
        <f>SUBTOTAL(9,P22:P27)</f>
        <v>3.25</v>
      </c>
      <c r="Q28" s="76">
        <f>SUBTOTAL(9,Q22:Q27)</f>
        <v>272.61463</v>
      </c>
      <c r="R28" s="76">
        <f>SUBTOTAL(9,R22:R27)</f>
        <v>909.2345649999999</v>
      </c>
      <c r="S28" s="76">
        <f>SUBTOTAL(9,S22:S27)</f>
        <v>2727.7036949999997</v>
      </c>
      <c r="T28" s="76">
        <f>SUBTOTAL(9,T22:T27)</f>
        <v>0</v>
      </c>
      <c r="U28" s="76">
        <f>SUBTOTAL(9,U22:U27)</f>
        <v>0</v>
      </c>
      <c r="V28" s="76">
        <f>SUBTOTAL(9,V22:V27)</f>
        <v>2727.7036949999997</v>
      </c>
    </row>
    <row r="29" spans="10:22" ht="12.75">
      <c r="J29" s="45"/>
      <c r="K29" s="73"/>
      <c r="L29" s="73"/>
      <c r="M29" s="45"/>
      <c r="N29" s="73"/>
      <c r="O29" s="73"/>
      <c r="P29" s="45"/>
      <c r="Q29" s="73"/>
      <c r="R29" s="73"/>
      <c r="S29" s="73"/>
      <c r="T29" s="73"/>
      <c r="U29" s="73"/>
      <c r="V29" s="73"/>
    </row>
    <row r="30" spans="1:22" ht="15.75">
      <c r="A30" s="63" t="s">
        <v>246</v>
      </c>
      <c r="J30" s="45"/>
      <c r="K30" s="73"/>
      <c r="L30" s="73"/>
      <c r="M30" s="45"/>
      <c r="N30" s="73"/>
      <c r="O30" s="73"/>
      <c r="P30" s="45"/>
      <c r="Q30" s="73"/>
      <c r="R30" s="73"/>
      <c r="S30" s="73"/>
      <c r="T30" s="73"/>
      <c r="U30" s="73"/>
      <c r="V30" s="73"/>
    </row>
    <row r="31" spans="2:22" ht="12.75">
      <c r="B31" s="64" t="s">
        <v>196</v>
      </c>
      <c r="C31" s="64" t="s">
        <v>197</v>
      </c>
      <c r="D31" s="64" t="s">
        <v>198</v>
      </c>
      <c r="E31" s="64" t="s">
        <v>199</v>
      </c>
      <c r="F31" s="64" t="s">
        <v>200</v>
      </c>
      <c r="G31" s="64" t="s">
        <v>201</v>
      </c>
      <c r="H31" s="64" t="s">
        <v>202</v>
      </c>
      <c r="I31" s="64" t="s">
        <v>203</v>
      </c>
      <c r="J31" s="69" t="s">
        <v>204</v>
      </c>
      <c r="K31" s="74" t="s">
        <v>205</v>
      </c>
      <c r="L31" s="74" t="s">
        <v>206</v>
      </c>
      <c r="M31" s="69" t="s">
        <v>207</v>
      </c>
      <c r="N31" s="74" t="s">
        <v>208</v>
      </c>
      <c r="O31" s="74" t="s">
        <v>209</v>
      </c>
      <c r="P31" s="69" t="s">
        <v>210</v>
      </c>
      <c r="Q31" s="74" t="s">
        <v>14</v>
      </c>
      <c r="R31" s="74" t="s">
        <v>12</v>
      </c>
      <c r="S31" s="74" t="s">
        <v>211</v>
      </c>
      <c r="T31" s="74" t="s">
        <v>212</v>
      </c>
      <c r="U31" s="74" t="s">
        <v>3</v>
      </c>
      <c r="V31" s="74" t="s">
        <v>213</v>
      </c>
    </row>
    <row r="32" spans="2:22" ht="12.75" outlineLevel="1">
      <c r="B32" s="65">
        <v>20</v>
      </c>
      <c r="C32" s="65">
        <v>2</v>
      </c>
      <c r="D32" s="65" t="s">
        <v>247</v>
      </c>
      <c r="E32" s="65" t="s">
        <v>248</v>
      </c>
      <c r="F32" s="65" t="s">
        <v>249</v>
      </c>
      <c r="G32" s="65"/>
      <c r="H32" s="65" t="s">
        <v>217</v>
      </c>
      <c r="I32" s="65" t="s">
        <v>223</v>
      </c>
      <c r="J32" s="70">
        <v>7.071999999999999</v>
      </c>
      <c r="K32" s="75">
        <v>4.4918</v>
      </c>
      <c r="L32" s="75">
        <v>5.8178</v>
      </c>
      <c r="M32" s="70">
        <v>0.290889</v>
      </c>
      <c r="N32" s="75">
        <v>0</v>
      </c>
      <c r="O32" s="75">
        <v>10</v>
      </c>
      <c r="P32" s="70">
        <v>0.25</v>
      </c>
      <c r="Q32" s="75">
        <f>K32*PH_Phase_1_MaterialMU+L32*PH_Phase_1_LaborMU+N32*PH_Phase_1_MaterialMU2+O32*PH_Phase_1_LaborMU2</f>
        <v>6.19452</v>
      </c>
      <c r="R32" s="75">
        <f>(K32+L32+N32+O32+Q32)*PH_Phase_1_FeeMU</f>
        <v>13.25206</v>
      </c>
      <c r="S32" s="75">
        <f>SUM(K32+L32+N32+O32+Q32+R32)</f>
        <v>39.75618</v>
      </c>
      <c r="T32" s="75">
        <f>IF(Total_SimpleSell=0,0,S32/Total_SimpleSell*Total_GC)</f>
        <v>0</v>
      </c>
      <c r="U32" s="75">
        <f>(K32*(PH_Phase_1_MaterialMU+1)*PH_Phase_1_TaxRateMaterial+L32*(PH_Phase_1_LaborMU+1)*PH_Phase_1_TaxRateLabor+N32*(PH_Phase_1_MaterialMU2+1)*PH_Phase_1_TaxRateMaterial2+O32*(PH_Phase_1_LaborMU2+1)*PH_Phase_1_TaxRateLabor2+R32*PH_Phase_1_TaxRateProfit+T32*TaxRateGC)</f>
        <v>0</v>
      </c>
      <c r="V32" s="75">
        <f>SUM(S32+T32+U32)</f>
        <v>39.75618</v>
      </c>
    </row>
    <row r="33" spans="2:22" ht="12.75" outlineLevel="1">
      <c r="B33" s="65">
        <v>21</v>
      </c>
      <c r="C33" s="65">
        <v>1</v>
      </c>
      <c r="D33" s="65" t="s">
        <v>250</v>
      </c>
      <c r="E33" s="65" t="s">
        <v>251</v>
      </c>
      <c r="F33" s="65" t="s">
        <v>249</v>
      </c>
      <c r="G33" s="65"/>
      <c r="H33" s="65" t="s">
        <v>217</v>
      </c>
      <c r="I33" s="65" t="s">
        <v>223</v>
      </c>
      <c r="J33" s="70">
        <v>125.02166666666665</v>
      </c>
      <c r="K33" s="75">
        <v>93.7301</v>
      </c>
      <c r="L33" s="75">
        <v>67.6703</v>
      </c>
      <c r="M33" s="70">
        <v>3.3835166250000013</v>
      </c>
      <c r="N33" s="75">
        <v>0</v>
      </c>
      <c r="O33" s="75">
        <v>20</v>
      </c>
      <c r="P33" s="70">
        <v>0.5</v>
      </c>
      <c r="Q33" s="75">
        <f>K33*PH_Phase_1_MaterialMU+L33*PH_Phase_1_LaborMU+N33*PH_Phase_1_MaterialMU2+O33*PH_Phase_1_LaborMU2</f>
        <v>37.674099999999996</v>
      </c>
      <c r="R33" s="75">
        <f>(K33+L33+N33+O33+Q33)*PH_Phase_1_FeeMU</f>
        <v>109.53725</v>
      </c>
      <c r="S33" s="75">
        <f>SUM(K33+L33+N33+O33+Q33+R33)</f>
        <v>328.61175000000003</v>
      </c>
      <c r="T33" s="75">
        <f>IF(Total_SimpleSell=0,0,S33/Total_SimpleSell*Total_GC)</f>
        <v>0</v>
      </c>
      <c r="U33" s="75">
        <f>(K33*(PH_Phase_1_MaterialMU+1)*PH_Phase_1_TaxRateMaterial+L33*(PH_Phase_1_LaborMU+1)*PH_Phase_1_TaxRateLabor+N33*(PH_Phase_1_MaterialMU2+1)*PH_Phase_1_TaxRateMaterial2+O33*(PH_Phase_1_LaborMU2+1)*PH_Phase_1_TaxRateLabor2+R33*PH_Phase_1_TaxRateProfit+T33*TaxRateGC)</f>
        <v>0</v>
      </c>
      <c r="V33" s="75">
        <f>SUM(S33+T33+U33)</f>
        <v>328.61175000000003</v>
      </c>
    </row>
    <row r="34" spans="2:22" ht="12.75" outlineLevel="1">
      <c r="B34" s="65">
        <v>22</v>
      </c>
      <c r="C34" s="65">
        <v>1</v>
      </c>
      <c r="D34" s="65" t="s">
        <v>252</v>
      </c>
      <c r="E34" s="65" t="s">
        <v>253</v>
      </c>
      <c r="F34" s="65" t="s">
        <v>249</v>
      </c>
      <c r="G34" s="65"/>
      <c r="H34" s="65" t="s">
        <v>217</v>
      </c>
      <c r="I34" s="65" t="s">
        <v>223</v>
      </c>
      <c r="J34" s="70">
        <v>101.47777777777776</v>
      </c>
      <c r="K34" s="75">
        <v>76.8541</v>
      </c>
      <c r="L34" s="75">
        <v>35.584</v>
      </c>
      <c r="M34" s="70">
        <v>1.7791993333333334</v>
      </c>
      <c r="N34" s="75">
        <v>0</v>
      </c>
      <c r="O34" s="75">
        <v>20</v>
      </c>
      <c r="P34" s="70">
        <v>0.5</v>
      </c>
      <c r="Q34" s="75">
        <f>K34*PH_Phase_1_MaterialMU+L34*PH_Phase_1_LaborMU+N34*PH_Phase_1_MaterialMU2+O34*PH_Phase_1_LaborMU2</f>
        <v>26.36061</v>
      </c>
      <c r="R34" s="75">
        <f>(K34+L34+N34+O34+Q34)*PH_Phase_1_FeeMU</f>
        <v>79.39935500000001</v>
      </c>
      <c r="S34" s="75">
        <f>SUM(K34+L34+N34+O34+Q34+R34)</f>
        <v>238.19806500000004</v>
      </c>
      <c r="T34" s="75">
        <f>IF(Total_SimpleSell=0,0,S34/Total_SimpleSell*Total_GC)</f>
        <v>0</v>
      </c>
      <c r="U34" s="75">
        <f>(K34*(PH_Phase_1_MaterialMU+1)*PH_Phase_1_TaxRateMaterial+L34*(PH_Phase_1_LaborMU+1)*PH_Phase_1_TaxRateLabor+N34*(PH_Phase_1_MaterialMU2+1)*PH_Phase_1_TaxRateMaterial2+O34*(PH_Phase_1_LaborMU2+1)*PH_Phase_1_TaxRateLabor2+R34*PH_Phase_1_TaxRateProfit+T34*TaxRateGC)</f>
        <v>0</v>
      </c>
      <c r="V34" s="75">
        <f>SUM(S34+T34+U34)</f>
        <v>238.19806500000004</v>
      </c>
    </row>
    <row r="35" spans="2:22" ht="12.75" outlineLevel="1">
      <c r="B35" s="65">
        <v>23</v>
      </c>
      <c r="C35" s="65">
        <v>1</v>
      </c>
      <c r="D35" s="65" t="s">
        <v>254</v>
      </c>
      <c r="E35" s="65" t="s">
        <v>255</v>
      </c>
      <c r="F35" s="65" t="s">
        <v>216</v>
      </c>
      <c r="G35" s="65"/>
      <c r="H35" s="65" t="s">
        <v>217</v>
      </c>
      <c r="I35" s="65" t="s">
        <v>223</v>
      </c>
      <c r="J35" s="70">
        <v>51.73694444444445</v>
      </c>
      <c r="K35" s="75">
        <v>50.0562</v>
      </c>
      <c r="L35" s="75">
        <v>38.1079</v>
      </c>
      <c r="M35" s="70">
        <v>1.905395583333333</v>
      </c>
      <c r="N35" s="75">
        <v>0</v>
      </c>
      <c r="O35" s="75">
        <v>39.6667</v>
      </c>
      <c r="P35" s="70">
        <v>0.9916666666666667</v>
      </c>
      <c r="Q35" s="75">
        <f>K35*PH_Phase_1_MaterialMU+L35*PH_Phase_1_LaborMU+N35*PH_Phase_1_MaterialMU2+O35*PH_Phase_1_LaborMU2</f>
        <v>32.30467</v>
      </c>
      <c r="R35" s="75">
        <f>(K35+L35+N35+O35+Q35)*PH_Phase_1_FeeMU</f>
        <v>80.067735</v>
      </c>
      <c r="S35" s="75">
        <f>SUM(K35+L35+N35+O35+Q35+R35)</f>
        <v>240.203205</v>
      </c>
      <c r="T35" s="75">
        <f>IF(Total_SimpleSell=0,0,S35/Total_SimpleSell*Total_GC)</f>
        <v>0</v>
      </c>
      <c r="U35" s="75">
        <f>(K35*(PH_Phase_1_MaterialMU+1)*PH_Phase_1_TaxRateMaterial+L35*(PH_Phase_1_LaborMU+1)*PH_Phase_1_TaxRateLabor+N35*(PH_Phase_1_MaterialMU2+1)*PH_Phase_1_TaxRateMaterial2+O35*(PH_Phase_1_LaborMU2+1)*PH_Phase_1_TaxRateLabor2+R35*PH_Phase_1_TaxRateProfit+T35*TaxRateGC)</f>
        <v>0</v>
      </c>
      <c r="V35" s="75">
        <f>SUM(S35+T35+U35)</f>
        <v>240.203205</v>
      </c>
    </row>
    <row r="36" spans="2:22" ht="12.75" outlineLevel="1">
      <c r="B36" s="65">
        <v>24</v>
      </c>
      <c r="C36" s="65">
        <v>2</v>
      </c>
      <c r="D36" s="65" t="s">
        <v>256</v>
      </c>
      <c r="E36" s="65" t="s">
        <v>257</v>
      </c>
      <c r="F36" s="65" t="s">
        <v>249</v>
      </c>
      <c r="G36" s="65"/>
      <c r="H36" s="65" t="s">
        <v>217</v>
      </c>
      <c r="I36" s="65" t="s">
        <v>223</v>
      </c>
      <c r="J36" s="70">
        <v>5.171999999999999</v>
      </c>
      <c r="K36" s="75">
        <v>3.8071</v>
      </c>
      <c r="L36" s="75">
        <v>10.9505</v>
      </c>
      <c r="M36" s="70">
        <v>0.5475260000000001</v>
      </c>
      <c r="N36" s="75">
        <v>0</v>
      </c>
      <c r="O36" s="75">
        <v>10</v>
      </c>
      <c r="P36" s="70">
        <v>0.25</v>
      </c>
      <c r="Q36" s="75">
        <f>K36*PH_Phase_1_MaterialMU+L36*PH_Phase_1_LaborMU+N36*PH_Phase_1_MaterialMU2+O36*PH_Phase_1_LaborMU2</f>
        <v>7.66586</v>
      </c>
      <c r="R36" s="75">
        <f>(K36+L36+N36+O36+Q36)*PH_Phase_1_FeeMU</f>
        <v>16.21173</v>
      </c>
      <c r="S36" s="75">
        <f>SUM(K36+L36+N36+O36+Q36+R36)</f>
        <v>48.635189999999994</v>
      </c>
      <c r="T36" s="75">
        <f>IF(Total_SimpleSell=0,0,S36/Total_SimpleSell*Total_GC)</f>
        <v>0</v>
      </c>
      <c r="U36" s="75">
        <f>(K36*(PH_Phase_1_MaterialMU+1)*PH_Phase_1_TaxRateMaterial+L36*(PH_Phase_1_LaborMU+1)*PH_Phase_1_TaxRateLabor+N36*(PH_Phase_1_MaterialMU2+1)*PH_Phase_1_TaxRateMaterial2+O36*(PH_Phase_1_LaborMU2+1)*PH_Phase_1_TaxRateLabor2+R36*PH_Phase_1_TaxRateProfit+T36*TaxRateGC)</f>
        <v>0</v>
      </c>
      <c r="V36" s="75">
        <f>SUM(S36+T36+U36)</f>
        <v>48.635189999999994</v>
      </c>
    </row>
    <row r="37" spans="2:22" ht="12.75" outlineLevel="1">
      <c r="B37" s="65">
        <v>25</v>
      </c>
      <c r="C37" s="65">
        <v>2</v>
      </c>
      <c r="D37" s="65" t="s">
        <v>258</v>
      </c>
      <c r="E37" s="65" t="s">
        <v>259</v>
      </c>
      <c r="F37" s="65" t="s">
        <v>249</v>
      </c>
      <c r="G37" s="65"/>
      <c r="H37" s="65" t="s">
        <v>217</v>
      </c>
      <c r="I37" s="65" t="s">
        <v>223</v>
      </c>
      <c r="J37" s="70">
        <v>151.984</v>
      </c>
      <c r="K37" s="75">
        <v>123.2909</v>
      </c>
      <c r="L37" s="75">
        <v>57.8982</v>
      </c>
      <c r="M37" s="70">
        <v>2.894908</v>
      </c>
      <c r="N37" s="75">
        <v>0</v>
      </c>
      <c r="O37" s="75">
        <v>30</v>
      </c>
      <c r="P37" s="70">
        <v>0.75</v>
      </c>
      <c r="Q37" s="75">
        <f>K37*PH_Phase_1_MaterialMU+L37*PH_Phase_1_LaborMU+N37*PH_Phase_1_MaterialMU2+O37*PH_Phase_1_LaborMU2</f>
        <v>41.69855</v>
      </c>
      <c r="R37" s="75">
        <f>(K37+L37+N37+O37+Q37)*PH_Phase_1_FeeMU</f>
        <v>126.443825</v>
      </c>
      <c r="S37" s="75">
        <f>SUM(K37+L37+N37+O37+Q37+R37)</f>
        <v>379.331475</v>
      </c>
      <c r="T37" s="75">
        <f>IF(Total_SimpleSell=0,0,S37/Total_SimpleSell*Total_GC)</f>
        <v>0</v>
      </c>
      <c r="U37" s="75">
        <f>(K37*(PH_Phase_1_MaterialMU+1)*PH_Phase_1_TaxRateMaterial+L37*(PH_Phase_1_LaborMU+1)*PH_Phase_1_TaxRateLabor+N37*(PH_Phase_1_MaterialMU2+1)*PH_Phase_1_TaxRateMaterial2+O37*(PH_Phase_1_LaborMU2+1)*PH_Phase_1_TaxRateLabor2+R37*PH_Phase_1_TaxRateProfit+T37*TaxRateGC)</f>
        <v>0</v>
      </c>
      <c r="V37" s="75">
        <f>SUM(S37+T37+U37)</f>
        <v>379.331475</v>
      </c>
    </row>
    <row r="38" spans="2:22" ht="12.75">
      <c r="B38" s="66"/>
      <c r="C38" s="66">
        <f>SUBTOTAL(9,C32:C37)</f>
        <v>9</v>
      </c>
      <c r="D38" s="66"/>
      <c r="E38" s="66"/>
      <c r="F38" s="66"/>
      <c r="G38" s="66"/>
      <c r="H38" s="66"/>
      <c r="I38" s="66"/>
      <c r="J38" s="71">
        <f>SUBTOTAL(9,J32:J37)</f>
        <v>442.46438888888895</v>
      </c>
      <c r="K38" s="76">
        <f>SUBTOTAL(9,K32:K37)</f>
        <v>352.23019999999997</v>
      </c>
      <c r="L38" s="76">
        <f>SUBTOTAL(9,L32:L37)</f>
        <v>216.02870000000001</v>
      </c>
      <c r="M38" s="71">
        <f>SUBTOTAL(9,M32:M37)</f>
        <v>10.80143454166667</v>
      </c>
      <c r="N38" s="76">
        <f>SUBTOTAL(9,N32:N37)</f>
        <v>0</v>
      </c>
      <c r="O38" s="76">
        <f>SUBTOTAL(9,O32:O37)</f>
        <v>129.6667</v>
      </c>
      <c r="P38" s="71">
        <f>SUBTOTAL(9,P32:P37)</f>
        <v>3.2416666666666667</v>
      </c>
      <c r="Q38" s="76">
        <f>SUBTOTAL(9,Q32:Q37)</f>
        <v>151.89830999999998</v>
      </c>
      <c r="R38" s="76">
        <f>SUBTOTAL(9,R32:R37)</f>
        <v>424.911955</v>
      </c>
      <c r="S38" s="76">
        <f>SUBTOTAL(9,S32:S37)</f>
        <v>1274.735865</v>
      </c>
      <c r="T38" s="76">
        <f>SUBTOTAL(9,T32:T37)</f>
        <v>0</v>
      </c>
      <c r="U38" s="76">
        <f>SUBTOTAL(9,U32:U37)</f>
        <v>0</v>
      </c>
      <c r="V38" s="76">
        <f>SUBTOTAL(9,V32:V37)</f>
        <v>1274.735865</v>
      </c>
    </row>
    <row r="39" spans="10:22" ht="12.75">
      <c r="J39" s="45"/>
      <c r="K39" s="73"/>
      <c r="L39" s="73"/>
      <c r="M39" s="45"/>
      <c r="N39" s="73"/>
      <c r="O39" s="73"/>
      <c r="P39" s="45"/>
      <c r="Q39" s="73"/>
      <c r="R39" s="73"/>
      <c r="S39" s="73"/>
      <c r="T39" s="73"/>
      <c r="U39" s="73"/>
      <c r="V39" s="73"/>
    </row>
    <row r="40" spans="10:22" ht="12.75">
      <c r="J40" s="45"/>
      <c r="K40" s="73"/>
      <c r="L40" s="73"/>
      <c r="M40" s="45"/>
      <c r="N40" s="73"/>
      <c r="O40" s="73"/>
      <c r="P40" s="45"/>
      <c r="Q40" s="73"/>
      <c r="R40" s="73"/>
      <c r="S40" s="73"/>
      <c r="T40" s="73"/>
      <c r="U40" s="73"/>
      <c r="V40" s="73"/>
    </row>
    <row r="41" spans="4:22" ht="12.75">
      <c r="D41" s="67" t="s">
        <v>266</v>
      </c>
      <c r="E41" s="68"/>
      <c r="F41" s="68"/>
      <c r="G41" s="68"/>
      <c r="H41" s="68"/>
      <c r="I41" s="68"/>
      <c r="J41" s="72">
        <f>SUBTOTAL(9,J10:J40)</f>
        <v>1596.2332222222221</v>
      </c>
      <c r="K41" s="77">
        <f>SUBTOTAL(9,K10:K40)</f>
        <v>2393.6474000000003</v>
      </c>
      <c r="L41" s="77">
        <f>SUBTOTAL(9,L10:L40)</f>
        <v>1006.3205</v>
      </c>
      <c r="M41" s="72">
        <f>SUBTOTAL(9,M10:M40)</f>
        <v>50.31601679166666</v>
      </c>
      <c r="N41" s="77">
        <f>SUBTOTAL(9,N10:N40)</f>
        <v>0</v>
      </c>
      <c r="O41" s="77">
        <f>SUBTOTAL(9,O10:O40)</f>
        <v>389.6667</v>
      </c>
      <c r="P41" s="72">
        <f>SUBTOTAL(9,P10:P40)</f>
        <v>9.741666666666667</v>
      </c>
      <c r="Q41" s="77">
        <f>SUBTOTAL(9,Q10:Q40)</f>
        <v>697.1275699999998</v>
      </c>
      <c r="R41" s="77">
        <f>SUBTOTAL(9,R10:R40)</f>
        <v>2243.381085</v>
      </c>
      <c r="S41" s="77">
        <f>SUBTOTAL(9,S10:S40)</f>
        <v>6730.143254999999</v>
      </c>
      <c r="T41" s="77">
        <f>SUBTOTAL(9,T10:T40)</f>
        <v>0</v>
      </c>
      <c r="U41" s="77">
        <f>SUBTOTAL(9,U10:U40)</f>
        <v>0</v>
      </c>
      <c r="V41" s="78">
        <f>SUBTOTAL(9,V10:V40)</f>
        <v>6730.143254999999</v>
      </c>
    </row>
    <row r="42" spans="10:22" ht="12.75">
      <c r="J42" s="45"/>
      <c r="K42" s="73"/>
      <c r="L42" s="73"/>
      <c r="M42" s="45"/>
      <c r="N42" s="73"/>
      <c r="O42" s="73"/>
      <c r="P42" s="45"/>
      <c r="Q42" s="73"/>
      <c r="R42" s="73"/>
      <c r="S42" s="73"/>
      <c r="T42" s="73"/>
      <c r="U42" s="73"/>
      <c r="V42" s="73"/>
    </row>
    <row r="43" spans="1:22" ht="15.75">
      <c r="A43" s="63" t="s">
        <v>10</v>
      </c>
      <c r="J43" s="45"/>
      <c r="K43" s="73"/>
      <c r="L43" s="73"/>
      <c r="M43" s="45"/>
      <c r="N43" s="73"/>
      <c r="O43" s="73"/>
      <c r="P43" s="45"/>
      <c r="Q43" s="73"/>
      <c r="R43" s="73"/>
      <c r="S43" s="73"/>
      <c r="T43" s="73"/>
      <c r="U43" s="73"/>
      <c r="V43" s="73"/>
    </row>
    <row r="44" spans="4:22" ht="12.75">
      <c r="D44" t="s">
        <v>261</v>
      </c>
      <c r="F44" t="s">
        <v>262</v>
      </c>
      <c r="I44" t="s">
        <v>263</v>
      </c>
      <c r="J44" s="45"/>
      <c r="K44" s="73">
        <v>450</v>
      </c>
      <c r="L44" s="73"/>
      <c r="M44" s="45"/>
      <c r="N44" s="73"/>
      <c r="O44" s="73"/>
      <c r="P44" s="45"/>
      <c r="Q44" s="73">
        <f>K44*PH_Phase_1_SubContractsMU</f>
        <v>270</v>
      </c>
      <c r="R44" s="73"/>
      <c r="S44" s="73">
        <f>K44+Q44</f>
        <v>720</v>
      </c>
      <c r="T44" s="73"/>
      <c r="U44" s="73">
        <f>S44*PH_Phase_1_TaxRateBO</f>
        <v>0</v>
      </c>
      <c r="V44" s="73">
        <f>S44+U44</f>
        <v>720</v>
      </c>
    </row>
    <row r="45" spans="10:22" ht="12.75">
      <c r="J45" s="45"/>
      <c r="K45" s="79">
        <f>SUBTOTAL(9,K43:K44)</f>
        <v>450</v>
      </c>
      <c r="L45" s="79"/>
      <c r="M45" s="80"/>
      <c r="N45" s="79"/>
      <c r="O45" s="79"/>
      <c r="P45" s="80"/>
      <c r="Q45" s="79">
        <f>SUBTOTAL(9,Q43:Q44)</f>
        <v>270</v>
      </c>
      <c r="R45" s="79"/>
      <c r="S45" s="79">
        <f>SUBTOTAL(9,S43:S44)</f>
        <v>720</v>
      </c>
      <c r="T45" s="79"/>
      <c r="U45" s="79">
        <f>SUBTOTAL(9,U43:U44)</f>
        <v>0</v>
      </c>
      <c r="V45" s="79">
        <f>SUBTOTAL(9,V43:V44)</f>
        <v>720</v>
      </c>
    </row>
    <row r="46" spans="10:22" ht="12.75">
      <c r="J46" s="45"/>
      <c r="K46" s="73"/>
      <c r="L46" s="73"/>
      <c r="M46" s="45"/>
      <c r="N46" s="73"/>
      <c r="O46" s="73"/>
      <c r="P46" s="45"/>
      <c r="Q46" s="73"/>
      <c r="R46" s="73"/>
      <c r="S46" s="73"/>
      <c r="T46" s="73"/>
      <c r="U46" s="73"/>
      <c r="V46" s="73"/>
    </row>
    <row r="47" spans="10:22" ht="12.75">
      <c r="J47" s="45"/>
      <c r="K47" s="73"/>
      <c r="L47" s="73"/>
      <c r="M47" s="45"/>
      <c r="N47" s="73"/>
      <c r="O47" s="73"/>
      <c r="P47" s="45"/>
      <c r="Q47" s="73"/>
      <c r="R47" s="73"/>
      <c r="S47" s="73"/>
      <c r="T47" s="73"/>
      <c r="U47" s="73"/>
      <c r="V47" s="73"/>
    </row>
    <row r="48" spans="4:22" ht="12.75">
      <c r="D48" s="67" t="s">
        <v>267</v>
      </c>
      <c r="E48" s="68"/>
      <c r="F48" s="68"/>
      <c r="G48" s="68"/>
      <c r="H48" s="68"/>
      <c r="I48" s="68"/>
      <c r="J48" s="72">
        <f>SUBTOTAL(9,J10:J47)</f>
        <v>1596.2332222222221</v>
      </c>
      <c r="K48" s="77">
        <f>SUBTOTAL(9,K10:K47)</f>
        <v>2843.6474000000003</v>
      </c>
      <c r="L48" s="77">
        <f>SUBTOTAL(9,L10:L47)</f>
        <v>1006.3205</v>
      </c>
      <c r="M48" s="72">
        <f>SUBTOTAL(9,M10:M47)</f>
        <v>50.31601679166666</v>
      </c>
      <c r="N48" s="77">
        <f>SUBTOTAL(9,N10:N47)</f>
        <v>0</v>
      </c>
      <c r="O48" s="77">
        <f>SUBTOTAL(9,O10:O47)</f>
        <v>389.6667</v>
      </c>
      <c r="P48" s="72">
        <f>SUBTOTAL(9,P10:P47)</f>
        <v>9.741666666666667</v>
      </c>
      <c r="Q48" s="77">
        <f>SUBTOTAL(9,Q10:Q47)</f>
        <v>967.1275699999998</v>
      </c>
      <c r="R48" s="77">
        <f>SUBTOTAL(9,R10:R47)</f>
        <v>2243.381085</v>
      </c>
      <c r="S48" s="77">
        <f>SUBTOTAL(9,S10:S47)</f>
        <v>7450.143254999999</v>
      </c>
      <c r="T48" s="77">
        <f>SUBTOTAL(9,T10:T47)</f>
        <v>0</v>
      </c>
      <c r="U48" s="77">
        <f>SUBTOTAL(9,U10:U47)</f>
        <v>0</v>
      </c>
      <c r="V48" s="78">
        <f>SUBTOTAL(9,V10:V47)</f>
        <v>7450.143254999999</v>
      </c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Jewellers&amp;CBreakout - Casework and tops&amp;R&amp;P/&amp;N</oddHeader>
    <oddFooter>&amp;LCompany&amp;RWednesday, November 5, 2014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selection activeCell="A1" sqref="A1"/>
    </sheetView>
  </sheetViews>
  <sheetFormatPr defaultColWidth="9.140625" defaultRowHeight="12.75" outlineLevelRow="1" outlineLevelCol="1"/>
  <cols>
    <col min="1" max="1" width="23.8515625" style="0" bestFit="1" customWidth="1"/>
    <col min="2" max="2" width="6.8515625" style="0" bestFit="1" customWidth="1"/>
    <col min="3" max="3" width="5.28125" style="0" bestFit="1" customWidth="1"/>
    <col min="4" max="4" width="32.57421875" style="0" bestFit="1" customWidth="1"/>
    <col min="5" max="5" width="10.57421875" style="0" bestFit="1" customWidth="1" outlineLevel="1"/>
    <col min="6" max="6" width="28.00390625" style="0" bestFit="1" customWidth="1" outlineLevel="1"/>
    <col min="7" max="7" width="21.140625" style="0" bestFit="1" customWidth="1" outlineLevel="1"/>
    <col min="8" max="8" width="17.7109375" style="0" bestFit="1" customWidth="1" outlineLevel="1"/>
    <col min="9" max="9" width="18.00390625" style="0" bestFit="1" customWidth="1"/>
    <col min="10" max="10" width="8.14062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140625" style="0" bestFit="1" customWidth="1" outlineLevel="1"/>
    <col min="17" max="18" width="9.7109375" style="0" bestFit="1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195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2:22" ht="12.75">
      <c r="B11" s="64" t="s">
        <v>196</v>
      </c>
      <c r="C11" s="64" t="s">
        <v>197</v>
      </c>
      <c r="D11" s="64" t="s">
        <v>198</v>
      </c>
      <c r="E11" s="64" t="s">
        <v>199</v>
      </c>
      <c r="F11" s="64" t="s">
        <v>200</v>
      </c>
      <c r="G11" s="64" t="s">
        <v>201</v>
      </c>
      <c r="H11" s="64" t="s">
        <v>202</v>
      </c>
      <c r="I11" s="64" t="s">
        <v>203</v>
      </c>
      <c r="J11" s="69" t="s">
        <v>204</v>
      </c>
      <c r="K11" s="74" t="s">
        <v>205</v>
      </c>
      <c r="L11" s="74" t="s">
        <v>206</v>
      </c>
      <c r="M11" s="69" t="s">
        <v>207</v>
      </c>
      <c r="N11" s="74" t="s">
        <v>208</v>
      </c>
      <c r="O11" s="74" t="s">
        <v>209</v>
      </c>
      <c r="P11" s="69" t="s">
        <v>210</v>
      </c>
      <c r="Q11" s="74" t="s">
        <v>14</v>
      </c>
      <c r="R11" s="74" t="s">
        <v>12</v>
      </c>
      <c r="S11" s="74" t="s">
        <v>211</v>
      </c>
      <c r="T11" s="74" t="s">
        <v>212</v>
      </c>
      <c r="U11" s="74" t="s">
        <v>3</v>
      </c>
      <c r="V11" s="74" t="s">
        <v>213</v>
      </c>
    </row>
    <row r="12" spans="2:22" ht="12.75" outlineLevel="1">
      <c r="B12" s="65">
        <v>1</v>
      </c>
      <c r="C12" s="65">
        <v>700</v>
      </c>
      <c r="D12" s="65" t="s">
        <v>214</v>
      </c>
      <c r="E12" s="65" t="s">
        <v>215</v>
      </c>
      <c r="F12" s="65" t="s">
        <v>216</v>
      </c>
      <c r="G12" s="65"/>
      <c r="H12" s="65" t="s">
        <v>217</v>
      </c>
      <c r="I12" s="65" t="s">
        <v>218</v>
      </c>
      <c r="J12" s="70">
        <v>840</v>
      </c>
      <c r="K12" s="75">
        <v>1050</v>
      </c>
      <c r="L12" s="75">
        <v>0</v>
      </c>
      <c r="M12" s="70">
        <v>0</v>
      </c>
      <c r="N12" s="75">
        <v>0</v>
      </c>
      <c r="O12" s="75">
        <v>2800</v>
      </c>
      <c r="P12" s="70">
        <v>70</v>
      </c>
      <c r="Q12" s="75">
        <f>K12*PH_Phase_2_MaterialMU+L12*PH_Phase_2_LaborMU+N12*PH_Phase_2_MaterialMU2+O12*PH_Phase_2_LaborMU2</f>
        <v>1225</v>
      </c>
      <c r="R12" s="75">
        <f>(K12+L12+N12+O12+Q12)*PH_Phase_2_FeeMU</f>
        <v>2537.5</v>
      </c>
      <c r="S12" s="75">
        <f>SUM(K12+L12+N12+O12+Q12+R12)</f>
        <v>7612.5</v>
      </c>
      <c r="T12" s="75">
        <f>IF(Total_SimpleSell=0,0,S12/Total_SimpleSell*Total_GC)</f>
        <v>0</v>
      </c>
      <c r="U12" s="75">
        <f>(K12*(PH_Phase_2_MaterialMU+1)*PH_Phase_2_TaxRateMaterial+L12*(PH_Phase_2_LaborMU+1)*PH_Phase_2_TaxRateLabor+N12*(PH_Phase_2_MaterialMU2+1)*PH_Phase_2_TaxRateMaterial2+O12*(PH_Phase_2_LaborMU2+1)*PH_Phase_2_TaxRateLabor2+R12*PH_Phase_2_TaxRateProfit+T12*TaxRateGC)</f>
        <v>0</v>
      </c>
      <c r="V12" s="75">
        <f>SUM(S12+T12+U12)</f>
        <v>7612.5</v>
      </c>
    </row>
    <row r="13" spans="2:22" ht="12.75">
      <c r="B13" s="66"/>
      <c r="C13" s="66">
        <f>SUBTOTAL(9,C12:C12)</f>
        <v>700</v>
      </c>
      <c r="D13" s="66"/>
      <c r="E13" s="66"/>
      <c r="F13" s="66"/>
      <c r="G13" s="66"/>
      <c r="H13" s="66"/>
      <c r="I13" s="66"/>
      <c r="J13" s="71">
        <f>SUBTOTAL(9,J12:J12)</f>
        <v>840</v>
      </c>
      <c r="K13" s="76">
        <f>SUBTOTAL(9,K12:K12)</f>
        <v>1050</v>
      </c>
      <c r="L13" s="76">
        <f>SUBTOTAL(9,L12:L12)</f>
        <v>0</v>
      </c>
      <c r="M13" s="71">
        <f>SUBTOTAL(9,M12:M12)</f>
        <v>0</v>
      </c>
      <c r="N13" s="76">
        <f>SUBTOTAL(9,N12:N12)</f>
        <v>0</v>
      </c>
      <c r="O13" s="76">
        <f>SUBTOTAL(9,O12:O12)</f>
        <v>2800</v>
      </c>
      <c r="P13" s="71">
        <f>SUBTOTAL(9,P12:P12)</f>
        <v>70</v>
      </c>
      <c r="Q13" s="76">
        <f>SUBTOTAL(9,Q12:Q12)</f>
        <v>1225</v>
      </c>
      <c r="R13" s="76">
        <f>SUBTOTAL(9,R12:R12)</f>
        <v>2537.5</v>
      </c>
      <c r="S13" s="76">
        <f>SUBTOTAL(9,S12:S12)</f>
        <v>7612.5</v>
      </c>
      <c r="T13" s="76">
        <f>SUBTOTAL(9,T12:T12)</f>
        <v>0</v>
      </c>
      <c r="U13" s="76">
        <f>SUBTOTAL(9,U12:U12)</f>
        <v>0</v>
      </c>
      <c r="V13" s="76">
        <f>SUBTOTAL(9,V12:V12)</f>
        <v>7612.5</v>
      </c>
    </row>
    <row r="14" spans="10:22" ht="12.75">
      <c r="J14" s="45"/>
      <c r="K14" s="73"/>
      <c r="L14" s="73"/>
      <c r="M14" s="45"/>
      <c r="N14" s="73"/>
      <c r="O14" s="73"/>
      <c r="P14" s="45"/>
      <c r="Q14" s="73"/>
      <c r="R14" s="73"/>
      <c r="S14" s="73"/>
      <c r="T14" s="73"/>
      <c r="U14" s="73"/>
      <c r="V14" s="73"/>
    </row>
    <row r="15" spans="1:22" ht="15.75">
      <c r="A15" s="63" t="s">
        <v>219</v>
      </c>
      <c r="J15" s="45"/>
      <c r="K15" s="73"/>
      <c r="L15" s="73"/>
      <c r="M15" s="45"/>
      <c r="N15" s="73"/>
      <c r="O15" s="73"/>
      <c r="P15" s="45"/>
      <c r="Q15" s="73"/>
      <c r="R15" s="73"/>
      <c r="S15" s="73"/>
      <c r="T15" s="73"/>
      <c r="U15" s="73"/>
      <c r="V15" s="73"/>
    </row>
    <row r="16" spans="2:22" ht="12.75">
      <c r="B16" s="64" t="s">
        <v>196</v>
      </c>
      <c r="C16" s="64" t="s">
        <v>197</v>
      </c>
      <c r="D16" s="64" t="s">
        <v>198</v>
      </c>
      <c r="E16" s="64" t="s">
        <v>199</v>
      </c>
      <c r="F16" s="64" t="s">
        <v>200</v>
      </c>
      <c r="G16" s="64" t="s">
        <v>201</v>
      </c>
      <c r="H16" s="64" t="s">
        <v>202</v>
      </c>
      <c r="I16" s="64" t="s">
        <v>203</v>
      </c>
      <c r="J16" s="69" t="s">
        <v>204</v>
      </c>
      <c r="K16" s="74" t="s">
        <v>205</v>
      </c>
      <c r="L16" s="74" t="s">
        <v>206</v>
      </c>
      <c r="M16" s="69" t="s">
        <v>207</v>
      </c>
      <c r="N16" s="74" t="s">
        <v>208</v>
      </c>
      <c r="O16" s="74" t="s">
        <v>209</v>
      </c>
      <c r="P16" s="69" t="s">
        <v>210</v>
      </c>
      <c r="Q16" s="74" t="s">
        <v>14</v>
      </c>
      <c r="R16" s="74" t="s">
        <v>12</v>
      </c>
      <c r="S16" s="74" t="s">
        <v>211</v>
      </c>
      <c r="T16" s="74" t="s">
        <v>212</v>
      </c>
      <c r="U16" s="74" t="s">
        <v>3</v>
      </c>
      <c r="V16" s="74" t="s">
        <v>213</v>
      </c>
    </row>
    <row r="17" spans="2:22" ht="12.75" outlineLevel="1">
      <c r="B17" s="65">
        <v>8</v>
      </c>
      <c r="C17" s="65">
        <v>100</v>
      </c>
      <c r="D17" s="65" t="s">
        <v>214</v>
      </c>
      <c r="E17" s="65" t="s">
        <v>215</v>
      </c>
      <c r="F17" s="65" t="s">
        <v>216</v>
      </c>
      <c r="G17" s="65"/>
      <c r="H17" s="65" t="s">
        <v>217</v>
      </c>
      <c r="I17" s="65" t="s">
        <v>218</v>
      </c>
      <c r="J17" s="70">
        <v>120</v>
      </c>
      <c r="K17" s="75">
        <v>150</v>
      </c>
      <c r="L17" s="75">
        <v>0</v>
      </c>
      <c r="M17" s="70">
        <v>0</v>
      </c>
      <c r="N17" s="75">
        <v>0</v>
      </c>
      <c r="O17" s="75">
        <v>400</v>
      </c>
      <c r="P17" s="70">
        <v>10</v>
      </c>
      <c r="Q17" s="75">
        <f>K17*PH_Phase_2_MaterialMU+L17*PH_Phase_2_LaborMU+N17*PH_Phase_2_MaterialMU2+O17*PH_Phase_2_LaborMU2</f>
        <v>175</v>
      </c>
      <c r="R17" s="75">
        <f>(K17+L17+N17+O17+Q17)*PH_Phase_2_FeeMU</f>
        <v>362.5</v>
      </c>
      <c r="S17" s="75">
        <f>SUM(K17+L17+N17+O17+Q17+R17)</f>
        <v>1087.5</v>
      </c>
      <c r="T17" s="75">
        <f>IF(Total_SimpleSell=0,0,S17/Total_SimpleSell*Total_GC)</f>
        <v>0</v>
      </c>
      <c r="U17" s="75">
        <f>(K17*(PH_Phase_2_MaterialMU+1)*PH_Phase_2_TaxRateMaterial+L17*(PH_Phase_2_LaborMU+1)*PH_Phase_2_TaxRateLabor+N17*(PH_Phase_2_MaterialMU2+1)*PH_Phase_2_TaxRateMaterial2+O17*(PH_Phase_2_LaborMU2+1)*PH_Phase_2_TaxRateLabor2+R17*PH_Phase_2_TaxRateProfit+T17*TaxRateGC)</f>
        <v>0</v>
      </c>
      <c r="V17" s="75">
        <f>SUM(S17+T17+U17)</f>
        <v>1087.5</v>
      </c>
    </row>
    <row r="18" spans="2:22" ht="12.75">
      <c r="B18" s="66"/>
      <c r="C18" s="66">
        <f>SUBTOTAL(9,C17:C17)</f>
        <v>100</v>
      </c>
      <c r="D18" s="66"/>
      <c r="E18" s="66"/>
      <c r="F18" s="66"/>
      <c r="G18" s="66"/>
      <c r="H18" s="66"/>
      <c r="I18" s="66"/>
      <c r="J18" s="71">
        <f>SUBTOTAL(9,J17:J17)</f>
        <v>120</v>
      </c>
      <c r="K18" s="76">
        <f>SUBTOTAL(9,K17:K17)</f>
        <v>150</v>
      </c>
      <c r="L18" s="76">
        <f>SUBTOTAL(9,L17:L17)</f>
        <v>0</v>
      </c>
      <c r="M18" s="71">
        <f>SUBTOTAL(9,M17:M17)</f>
        <v>0</v>
      </c>
      <c r="N18" s="76">
        <f>SUBTOTAL(9,N17:N17)</f>
        <v>0</v>
      </c>
      <c r="O18" s="76">
        <f>SUBTOTAL(9,O17:O17)</f>
        <v>400</v>
      </c>
      <c r="P18" s="71">
        <f>SUBTOTAL(9,P17:P17)</f>
        <v>10</v>
      </c>
      <c r="Q18" s="76">
        <f>SUBTOTAL(9,Q17:Q17)</f>
        <v>175</v>
      </c>
      <c r="R18" s="76">
        <f>SUBTOTAL(9,R17:R17)</f>
        <v>362.5</v>
      </c>
      <c r="S18" s="76">
        <f>SUBTOTAL(9,S17:S17)</f>
        <v>1087.5</v>
      </c>
      <c r="T18" s="76">
        <f>SUBTOTAL(9,T17:T17)</f>
        <v>0</v>
      </c>
      <c r="U18" s="76">
        <f>SUBTOTAL(9,U17:U17)</f>
        <v>0</v>
      </c>
      <c r="V18" s="76">
        <f>SUBTOTAL(9,V17:V17)</f>
        <v>1087.5</v>
      </c>
    </row>
    <row r="19" spans="10:22" ht="12.75">
      <c r="J19" s="45"/>
      <c r="K19" s="73"/>
      <c r="L19" s="73"/>
      <c r="M19" s="45"/>
      <c r="N19" s="73"/>
      <c r="O19" s="73"/>
      <c r="P19" s="45"/>
      <c r="Q19" s="73"/>
      <c r="R19" s="73"/>
      <c r="S19" s="73"/>
      <c r="T19" s="73"/>
      <c r="U19" s="73"/>
      <c r="V19" s="73"/>
    </row>
    <row r="20" spans="1:22" ht="15.75">
      <c r="A20" s="63" t="s">
        <v>231</v>
      </c>
      <c r="J20" s="45"/>
      <c r="K20" s="73"/>
      <c r="L20" s="73"/>
      <c r="M20" s="45"/>
      <c r="N20" s="73"/>
      <c r="O20" s="73"/>
      <c r="P20" s="45"/>
      <c r="Q20" s="73"/>
      <c r="R20" s="73"/>
      <c r="S20" s="73"/>
      <c r="T20" s="73"/>
      <c r="U20" s="73"/>
      <c r="V20" s="73"/>
    </row>
    <row r="21" spans="2:22" ht="12.75">
      <c r="B21" s="64" t="s">
        <v>196</v>
      </c>
      <c r="C21" s="64" t="s">
        <v>197</v>
      </c>
      <c r="D21" s="64" t="s">
        <v>198</v>
      </c>
      <c r="E21" s="64" t="s">
        <v>199</v>
      </c>
      <c r="F21" s="64" t="s">
        <v>200</v>
      </c>
      <c r="G21" s="64" t="s">
        <v>201</v>
      </c>
      <c r="H21" s="64" t="s">
        <v>202</v>
      </c>
      <c r="I21" s="64" t="s">
        <v>203</v>
      </c>
      <c r="J21" s="69" t="s">
        <v>204</v>
      </c>
      <c r="K21" s="74" t="s">
        <v>205</v>
      </c>
      <c r="L21" s="74" t="s">
        <v>206</v>
      </c>
      <c r="M21" s="69" t="s">
        <v>207</v>
      </c>
      <c r="N21" s="74" t="s">
        <v>208</v>
      </c>
      <c r="O21" s="74" t="s">
        <v>209</v>
      </c>
      <c r="P21" s="69" t="s">
        <v>210</v>
      </c>
      <c r="Q21" s="74" t="s">
        <v>14</v>
      </c>
      <c r="R21" s="74" t="s">
        <v>12</v>
      </c>
      <c r="S21" s="74" t="s">
        <v>211</v>
      </c>
      <c r="T21" s="74" t="s">
        <v>212</v>
      </c>
      <c r="U21" s="74" t="s">
        <v>3</v>
      </c>
      <c r="V21" s="74" t="s">
        <v>213</v>
      </c>
    </row>
    <row r="22" spans="2:22" ht="12.75" outlineLevel="1">
      <c r="B22" s="65">
        <v>15</v>
      </c>
      <c r="C22" s="65">
        <v>100</v>
      </c>
      <c r="D22" s="65" t="s">
        <v>214</v>
      </c>
      <c r="E22" s="65" t="s">
        <v>215</v>
      </c>
      <c r="F22" s="65" t="s">
        <v>216</v>
      </c>
      <c r="G22" s="65"/>
      <c r="H22" s="65" t="s">
        <v>217</v>
      </c>
      <c r="I22" s="65" t="s">
        <v>218</v>
      </c>
      <c r="J22" s="70">
        <v>120</v>
      </c>
      <c r="K22" s="75">
        <v>150</v>
      </c>
      <c r="L22" s="75">
        <v>0</v>
      </c>
      <c r="M22" s="70">
        <v>0</v>
      </c>
      <c r="N22" s="75">
        <v>0</v>
      </c>
      <c r="O22" s="75">
        <v>400</v>
      </c>
      <c r="P22" s="70">
        <v>10</v>
      </c>
      <c r="Q22" s="75">
        <f>K22*PH_Phase_2_MaterialMU+L22*PH_Phase_2_LaborMU+N22*PH_Phase_2_MaterialMU2+O22*PH_Phase_2_LaborMU2</f>
        <v>175</v>
      </c>
      <c r="R22" s="75">
        <f>(K22+L22+N22+O22+Q22)*PH_Phase_2_FeeMU</f>
        <v>362.5</v>
      </c>
      <c r="S22" s="75">
        <f>SUM(K22+L22+N22+O22+Q22+R22)</f>
        <v>1087.5</v>
      </c>
      <c r="T22" s="75">
        <f>IF(Total_SimpleSell=0,0,S22/Total_SimpleSell*Total_GC)</f>
        <v>0</v>
      </c>
      <c r="U22" s="75">
        <f>(K22*(PH_Phase_2_MaterialMU+1)*PH_Phase_2_TaxRateMaterial+L22*(PH_Phase_2_LaborMU+1)*PH_Phase_2_TaxRateLabor+N22*(PH_Phase_2_MaterialMU2+1)*PH_Phase_2_TaxRateMaterial2+O22*(PH_Phase_2_LaborMU2+1)*PH_Phase_2_TaxRateLabor2+R22*PH_Phase_2_TaxRateProfit+T22*TaxRateGC)</f>
        <v>0</v>
      </c>
      <c r="V22" s="75">
        <f>SUM(S22+T22+U22)</f>
        <v>1087.5</v>
      </c>
    </row>
    <row r="23" spans="2:22" ht="12.75">
      <c r="B23" s="66"/>
      <c r="C23" s="66">
        <f>SUBTOTAL(9,C22:C22)</f>
        <v>100</v>
      </c>
      <c r="D23" s="66"/>
      <c r="E23" s="66"/>
      <c r="F23" s="66"/>
      <c r="G23" s="66"/>
      <c r="H23" s="66"/>
      <c r="I23" s="66"/>
      <c r="J23" s="71">
        <f>SUBTOTAL(9,J22:J22)</f>
        <v>120</v>
      </c>
      <c r="K23" s="76">
        <f>SUBTOTAL(9,K22:K22)</f>
        <v>150</v>
      </c>
      <c r="L23" s="76">
        <f>SUBTOTAL(9,L22:L22)</f>
        <v>0</v>
      </c>
      <c r="M23" s="71">
        <f>SUBTOTAL(9,M22:M22)</f>
        <v>0</v>
      </c>
      <c r="N23" s="76">
        <f>SUBTOTAL(9,N22:N22)</f>
        <v>0</v>
      </c>
      <c r="O23" s="76">
        <f>SUBTOTAL(9,O22:O22)</f>
        <v>400</v>
      </c>
      <c r="P23" s="71">
        <f>SUBTOTAL(9,P22:P22)</f>
        <v>10</v>
      </c>
      <c r="Q23" s="76">
        <f>SUBTOTAL(9,Q22:Q22)</f>
        <v>175</v>
      </c>
      <c r="R23" s="76">
        <f>SUBTOTAL(9,R22:R22)</f>
        <v>362.5</v>
      </c>
      <c r="S23" s="76">
        <f>SUBTOTAL(9,S22:S22)</f>
        <v>1087.5</v>
      </c>
      <c r="T23" s="76">
        <f>SUBTOTAL(9,T22:T22)</f>
        <v>0</v>
      </c>
      <c r="U23" s="76">
        <f>SUBTOTAL(9,U22:U22)</f>
        <v>0</v>
      </c>
      <c r="V23" s="76">
        <f>SUBTOTAL(9,V22:V22)</f>
        <v>1087.5</v>
      </c>
    </row>
    <row r="24" spans="10:22" ht="12.75">
      <c r="J24" s="45"/>
      <c r="K24" s="73"/>
      <c r="L24" s="73"/>
      <c r="M24" s="45"/>
      <c r="N24" s="73"/>
      <c r="O24" s="73"/>
      <c r="P24" s="45"/>
      <c r="Q24" s="73"/>
      <c r="R24" s="73"/>
      <c r="S24" s="73"/>
      <c r="T24" s="73"/>
      <c r="U24" s="73"/>
      <c r="V24" s="73"/>
    </row>
    <row r="25" spans="1:22" ht="15.75">
      <c r="A25" s="63" t="s">
        <v>232</v>
      </c>
      <c r="J25" s="45"/>
      <c r="K25" s="73"/>
      <c r="L25" s="73"/>
      <c r="M25" s="45"/>
      <c r="N25" s="73"/>
      <c r="O25" s="73"/>
      <c r="P25" s="45"/>
      <c r="Q25" s="73"/>
      <c r="R25" s="73"/>
      <c r="S25" s="73"/>
      <c r="T25" s="73"/>
      <c r="U25" s="73"/>
      <c r="V25" s="73"/>
    </row>
    <row r="26" spans="2:22" ht="12.75">
      <c r="B26" s="64" t="s">
        <v>196</v>
      </c>
      <c r="C26" s="64" t="s">
        <v>197</v>
      </c>
      <c r="D26" s="64" t="s">
        <v>198</v>
      </c>
      <c r="E26" s="64" t="s">
        <v>199</v>
      </c>
      <c r="F26" s="64" t="s">
        <v>200</v>
      </c>
      <c r="G26" s="64" t="s">
        <v>201</v>
      </c>
      <c r="H26" s="64" t="s">
        <v>202</v>
      </c>
      <c r="I26" s="64" t="s">
        <v>203</v>
      </c>
      <c r="J26" s="69" t="s">
        <v>204</v>
      </c>
      <c r="K26" s="74" t="s">
        <v>205</v>
      </c>
      <c r="L26" s="74" t="s">
        <v>206</v>
      </c>
      <c r="M26" s="69" t="s">
        <v>207</v>
      </c>
      <c r="N26" s="74" t="s">
        <v>208</v>
      </c>
      <c r="O26" s="74" t="s">
        <v>209</v>
      </c>
      <c r="P26" s="69" t="s">
        <v>210</v>
      </c>
      <c r="Q26" s="74" t="s">
        <v>14</v>
      </c>
      <c r="R26" s="74" t="s">
        <v>12</v>
      </c>
      <c r="S26" s="74" t="s">
        <v>211</v>
      </c>
      <c r="T26" s="74" t="s">
        <v>212</v>
      </c>
      <c r="U26" s="74" t="s">
        <v>3</v>
      </c>
      <c r="V26" s="74" t="s">
        <v>213</v>
      </c>
    </row>
    <row r="27" spans="2:22" ht="12.75" outlineLevel="1">
      <c r="B27" s="65">
        <v>26</v>
      </c>
      <c r="C27" s="65">
        <v>2</v>
      </c>
      <c r="D27" s="65" t="s">
        <v>242</v>
      </c>
      <c r="E27" s="65" t="s">
        <v>243</v>
      </c>
      <c r="F27" s="65" t="s">
        <v>216</v>
      </c>
      <c r="G27" s="65" t="s">
        <v>244</v>
      </c>
      <c r="H27" s="65" t="s">
        <v>245</v>
      </c>
      <c r="I27" s="65" t="s">
        <v>218</v>
      </c>
      <c r="J27" s="70">
        <v>144.3</v>
      </c>
      <c r="K27" s="75">
        <v>156</v>
      </c>
      <c r="L27" s="75">
        <v>35</v>
      </c>
      <c r="M27" s="70">
        <v>1.75</v>
      </c>
      <c r="N27" s="75">
        <v>0</v>
      </c>
      <c r="O27" s="75">
        <v>80</v>
      </c>
      <c r="P27" s="70">
        <v>2</v>
      </c>
      <c r="Q27" s="75">
        <f>K27*PH_Phase_2_MaterialMU+L27*PH_Phase_2_LaborMU+N27*PH_Phase_2_MaterialMU2+O27*PH_Phase_2_LaborMU2</f>
        <v>58.1</v>
      </c>
      <c r="R27" s="75">
        <f>(K27+L27+N27+O27+Q27)*PH_Phase_2_FeeMU</f>
        <v>164.55</v>
      </c>
      <c r="S27" s="75">
        <f>SUM(K27+L27+N27+O27+Q27+R27)</f>
        <v>493.65000000000003</v>
      </c>
      <c r="T27" s="75">
        <f>IF(Total_SimpleSell=0,0,S27/Total_SimpleSell*Total_GC)</f>
        <v>0</v>
      </c>
      <c r="U27" s="75">
        <f>(K27*(PH_Phase_2_MaterialMU+1)*PH_Phase_2_TaxRateMaterial+L27*(PH_Phase_2_LaborMU+1)*PH_Phase_2_TaxRateLabor+N27*(PH_Phase_2_MaterialMU2+1)*PH_Phase_2_TaxRateMaterial2+O27*(PH_Phase_2_LaborMU2+1)*PH_Phase_2_TaxRateLabor2+R27*PH_Phase_2_TaxRateProfit+T27*TaxRateGC)</f>
        <v>0</v>
      </c>
      <c r="V27" s="75">
        <f>SUM(S27+T27+U27)</f>
        <v>493.65000000000003</v>
      </c>
    </row>
    <row r="28" spans="2:22" ht="12.75">
      <c r="B28" s="66"/>
      <c r="C28" s="66">
        <f>SUBTOTAL(9,C27:C27)</f>
        <v>2</v>
      </c>
      <c r="D28" s="66"/>
      <c r="E28" s="66"/>
      <c r="F28" s="66"/>
      <c r="G28" s="66"/>
      <c r="H28" s="66"/>
      <c r="I28" s="66"/>
      <c r="J28" s="71">
        <f>SUBTOTAL(9,J27:J27)</f>
        <v>144.3</v>
      </c>
      <c r="K28" s="76">
        <f>SUBTOTAL(9,K27:K27)</f>
        <v>156</v>
      </c>
      <c r="L28" s="76">
        <f>SUBTOTAL(9,L27:L27)</f>
        <v>35</v>
      </c>
      <c r="M28" s="71">
        <f>SUBTOTAL(9,M27:M27)</f>
        <v>1.75</v>
      </c>
      <c r="N28" s="76">
        <f>SUBTOTAL(9,N27:N27)</f>
        <v>0</v>
      </c>
      <c r="O28" s="76">
        <f>SUBTOTAL(9,O27:O27)</f>
        <v>80</v>
      </c>
      <c r="P28" s="71">
        <f>SUBTOTAL(9,P27:P27)</f>
        <v>2</v>
      </c>
      <c r="Q28" s="76">
        <f>SUBTOTAL(9,Q27:Q27)</f>
        <v>58.1</v>
      </c>
      <c r="R28" s="76">
        <f>SUBTOTAL(9,R27:R27)</f>
        <v>164.55</v>
      </c>
      <c r="S28" s="76">
        <f>SUBTOTAL(9,S27:S27)</f>
        <v>493.65000000000003</v>
      </c>
      <c r="T28" s="76">
        <f>SUBTOTAL(9,T27:T27)</f>
        <v>0</v>
      </c>
      <c r="U28" s="76">
        <f>SUBTOTAL(9,U27:U27)</f>
        <v>0</v>
      </c>
      <c r="V28" s="76">
        <f>SUBTOTAL(9,V27:V27)</f>
        <v>493.65000000000003</v>
      </c>
    </row>
    <row r="29" spans="10:22" ht="12.75">
      <c r="J29" s="45"/>
      <c r="K29" s="73"/>
      <c r="L29" s="73"/>
      <c r="M29" s="45"/>
      <c r="N29" s="73"/>
      <c r="O29" s="73"/>
      <c r="P29" s="45"/>
      <c r="Q29" s="73"/>
      <c r="R29" s="73"/>
      <c r="S29" s="73"/>
      <c r="T29" s="73"/>
      <c r="U29" s="73"/>
      <c r="V29" s="73"/>
    </row>
    <row r="30" spans="10:22" ht="12.75">
      <c r="J30" s="45"/>
      <c r="K30" s="73"/>
      <c r="L30" s="73"/>
      <c r="M30" s="45"/>
      <c r="N30" s="73"/>
      <c r="O30" s="73"/>
      <c r="P30" s="45"/>
      <c r="Q30" s="73"/>
      <c r="R30" s="73"/>
      <c r="S30" s="73"/>
      <c r="T30" s="73"/>
      <c r="U30" s="73"/>
      <c r="V30" s="73"/>
    </row>
    <row r="31" spans="4:22" ht="12.75">
      <c r="D31" s="67" t="s">
        <v>266</v>
      </c>
      <c r="E31" s="68"/>
      <c r="F31" s="68"/>
      <c r="G31" s="68"/>
      <c r="H31" s="68"/>
      <c r="I31" s="68"/>
      <c r="J31" s="72">
        <f>SUBTOTAL(9,J10:J30)</f>
        <v>1224.3</v>
      </c>
      <c r="K31" s="77">
        <f>SUBTOTAL(9,K10:K30)</f>
        <v>1506</v>
      </c>
      <c r="L31" s="77">
        <f>SUBTOTAL(9,L10:L30)</f>
        <v>35</v>
      </c>
      <c r="M31" s="72">
        <f>SUBTOTAL(9,M10:M30)</f>
        <v>1.75</v>
      </c>
      <c r="N31" s="77">
        <f>SUBTOTAL(9,N10:N30)</f>
        <v>0</v>
      </c>
      <c r="O31" s="77">
        <f>SUBTOTAL(9,O10:O30)</f>
        <v>3680</v>
      </c>
      <c r="P31" s="72">
        <f>SUBTOTAL(9,P10:P30)</f>
        <v>92</v>
      </c>
      <c r="Q31" s="77">
        <f>SUBTOTAL(9,Q10:Q30)</f>
        <v>1633.1</v>
      </c>
      <c r="R31" s="77">
        <f>SUBTOTAL(9,R10:R30)</f>
        <v>3427.05</v>
      </c>
      <c r="S31" s="77">
        <f>SUBTOTAL(9,S10:S30)</f>
        <v>10281.15</v>
      </c>
      <c r="T31" s="77">
        <f>SUBTOTAL(9,T10:T30)</f>
        <v>0</v>
      </c>
      <c r="U31" s="77">
        <f>SUBTOTAL(9,U10:U30)</f>
        <v>0</v>
      </c>
      <c r="V31" s="78">
        <f>SUBTOTAL(9,V10:V30)</f>
        <v>10281.15</v>
      </c>
    </row>
    <row r="32" spans="10:22" ht="12.75">
      <c r="J32" s="45"/>
      <c r="K32" s="73"/>
      <c r="L32" s="73"/>
      <c r="M32" s="45"/>
      <c r="N32" s="73"/>
      <c r="O32" s="73"/>
      <c r="P32" s="45"/>
      <c r="Q32" s="73"/>
      <c r="R32" s="73"/>
      <c r="S32" s="73"/>
      <c r="T32" s="73"/>
      <c r="U32" s="73"/>
      <c r="V32" s="73"/>
    </row>
    <row r="33" spans="1:22" ht="15.75">
      <c r="A33" s="63" t="s">
        <v>10</v>
      </c>
      <c r="J33" s="45"/>
      <c r="K33" s="73"/>
      <c r="L33" s="73"/>
      <c r="M33" s="45"/>
      <c r="N33" s="73"/>
      <c r="O33" s="73"/>
      <c r="P33" s="45"/>
      <c r="Q33" s="73"/>
      <c r="R33" s="73"/>
      <c r="S33" s="73"/>
      <c r="T33" s="73"/>
      <c r="U33" s="73"/>
      <c r="V33" s="73"/>
    </row>
    <row r="34" spans="10:22" ht="12.75">
      <c r="J34" s="45"/>
      <c r="K34" s="79">
        <f>SUBTOTAL(9,K33:K33)</f>
        <v>0</v>
      </c>
      <c r="L34" s="79"/>
      <c r="M34" s="80"/>
      <c r="N34" s="79"/>
      <c r="O34" s="79"/>
      <c r="P34" s="80"/>
      <c r="Q34" s="79">
        <f>SUBTOTAL(9,Q33:Q33)</f>
        <v>0</v>
      </c>
      <c r="R34" s="79"/>
      <c r="S34" s="79">
        <f>SUBTOTAL(9,S33:S33)</f>
        <v>0</v>
      </c>
      <c r="T34" s="79"/>
      <c r="U34" s="79">
        <f>SUBTOTAL(9,U33:U33)</f>
        <v>0</v>
      </c>
      <c r="V34" s="79">
        <f>SUBTOTAL(9,V33:V33)</f>
        <v>0</v>
      </c>
    </row>
    <row r="35" spans="10:22" ht="12.75">
      <c r="J35" s="45"/>
      <c r="K35" s="73"/>
      <c r="L35" s="73"/>
      <c r="M35" s="45"/>
      <c r="N35" s="73"/>
      <c r="O35" s="73"/>
      <c r="P35" s="45"/>
      <c r="Q35" s="73"/>
      <c r="R35" s="73"/>
      <c r="S35" s="73"/>
      <c r="T35" s="73"/>
      <c r="U35" s="73"/>
      <c r="V35" s="73"/>
    </row>
    <row r="36" spans="10:22" ht="12.75">
      <c r="J36" s="45"/>
      <c r="K36" s="73"/>
      <c r="L36" s="73"/>
      <c r="M36" s="45"/>
      <c r="N36" s="73"/>
      <c r="O36" s="73"/>
      <c r="P36" s="45"/>
      <c r="Q36" s="73"/>
      <c r="R36" s="73"/>
      <c r="S36" s="73"/>
      <c r="T36" s="73"/>
      <c r="U36" s="73"/>
      <c r="V36" s="73"/>
    </row>
    <row r="37" spans="4:22" ht="12.75">
      <c r="D37" s="67" t="s">
        <v>268</v>
      </c>
      <c r="E37" s="68"/>
      <c r="F37" s="68"/>
      <c r="G37" s="68"/>
      <c r="H37" s="68"/>
      <c r="I37" s="68"/>
      <c r="J37" s="72">
        <f>SUBTOTAL(9,J10:J36)</f>
        <v>1224.3</v>
      </c>
      <c r="K37" s="77">
        <f>SUBTOTAL(9,K10:K36)</f>
        <v>1506</v>
      </c>
      <c r="L37" s="77">
        <f>SUBTOTAL(9,L10:L36)</f>
        <v>35</v>
      </c>
      <c r="M37" s="72">
        <f>SUBTOTAL(9,M10:M36)</f>
        <v>1.75</v>
      </c>
      <c r="N37" s="77">
        <f>SUBTOTAL(9,N10:N36)</f>
        <v>0</v>
      </c>
      <c r="O37" s="77">
        <f>SUBTOTAL(9,O10:O36)</f>
        <v>3680</v>
      </c>
      <c r="P37" s="72">
        <f>SUBTOTAL(9,P10:P36)</f>
        <v>92</v>
      </c>
      <c r="Q37" s="77">
        <f>SUBTOTAL(9,Q10:Q36)</f>
        <v>1633.1</v>
      </c>
      <c r="R37" s="77">
        <f>SUBTOTAL(9,R10:R36)</f>
        <v>3427.05</v>
      </c>
      <c r="S37" s="77">
        <f>SUBTOTAL(9,S10:S36)</f>
        <v>10281.15</v>
      </c>
      <c r="T37" s="77">
        <f>SUBTOTAL(9,T10:T36)</f>
        <v>0</v>
      </c>
      <c r="U37" s="77">
        <f>SUBTOTAL(9,U10:U36)</f>
        <v>0</v>
      </c>
      <c r="V37" s="78">
        <f>SUBTOTAL(9,V10:V36)</f>
        <v>10281.15</v>
      </c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Jewellers&amp;CBreakout - Finish Carpentry&amp;R&amp;P/&amp;N</oddHeader>
    <oddFooter>&amp;LCompany&amp;RWednesday, November 5, 2014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selection activeCell="A1" sqref="A1"/>
    </sheetView>
  </sheetViews>
  <sheetFormatPr defaultColWidth="9.140625" defaultRowHeight="12.75" outlineLevelRow="1" outlineLevelCol="1"/>
  <cols>
    <col min="1" max="1" width="23.8515625" style="0" bestFit="1" customWidth="1"/>
    <col min="2" max="2" width="6.8515625" style="0" bestFit="1" customWidth="1"/>
    <col min="3" max="3" width="5.28125" style="0" bestFit="1" customWidth="1"/>
    <col min="4" max="4" width="24.140625" style="0" bestFit="1" customWidth="1"/>
    <col min="5" max="5" width="12.57421875" style="0" bestFit="1" customWidth="1" outlineLevel="1"/>
    <col min="6" max="6" width="29.140625" style="0" bestFit="1" customWidth="1" outlineLevel="1"/>
    <col min="7" max="7" width="15.7109375" style="0" bestFit="1" customWidth="1" outlineLevel="1"/>
    <col min="8" max="8" width="17.28125" style="0" bestFit="1" customWidth="1" outlineLevel="1"/>
    <col min="9" max="9" width="16.8515625" style="0" bestFit="1" customWidth="1"/>
    <col min="10" max="10" width="7.42187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00390625" style="0" bestFit="1" customWidth="1" outlineLevel="1"/>
    <col min="17" max="17" width="8.140625" style="0" bestFit="1" customWidth="1" outlineLevel="1"/>
    <col min="18" max="18" width="9.140625" style="0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232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2:22" ht="12.75">
      <c r="B11" s="64" t="s">
        <v>196</v>
      </c>
      <c r="C11" s="64" t="s">
        <v>197</v>
      </c>
      <c r="D11" s="64" t="s">
        <v>198</v>
      </c>
      <c r="E11" s="64" t="s">
        <v>199</v>
      </c>
      <c r="F11" s="64" t="s">
        <v>200</v>
      </c>
      <c r="G11" s="64" t="s">
        <v>201</v>
      </c>
      <c r="H11" s="64" t="s">
        <v>202</v>
      </c>
      <c r="I11" s="64" t="s">
        <v>203</v>
      </c>
      <c r="J11" s="69" t="s">
        <v>204</v>
      </c>
      <c r="K11" s="74" t="s">
        <v>205</v>
      </c>
      <c r="L11" s="74" t="s">
        <v>206</v>
      </c>
      <c r="M11" s="69" t="s">
        <v>207</v>
      </c>
      <c r="N11" s="74" t="s">
        <v>208</v>
      </c>
      <c r="O11" s="74" t="s">
        <v>209</v>
      </c>
      <c r="P11" s="69" t="s">
        <v>210</v>
      </c>
      <c r="Q11" s="74" t="s">
        <v>14</v>
      </c>
      <c r="R11" s="74" t="s">
        <v>12</v>
      </c>
      <c r="S11" s="74" t="s">
        <v>211</v>
      </c>
      <c r="T11" s="74" t="s">
        <v>212</v>
      </c>
      <c r="U11" s="74" t="s">
        <v>3</v>
      </c>
      <c r="V11" s="74" t="s">
        <v>213</v>
      </c>
    </row>
    <row r="12" spans="2:22" ht="12.75" outlineLevel="1">
      <c r="B12" s="65">
        <v>16</v>
      </c>
      <c r="C12" s="65">
        <v>1</v>
      </c>
      <c r="D12" s="65" t="s">
        <v>233</v>
      </c>
      <c r="E12" s="65" t="s">
        <v>234</v>
      </c>
      <c r="F12" s="65" t="s">
        <v>216</v>
      </c>
      <c r="G12" s="65" t="s">
        <v>235</v>
      </c>
      <c r="H12" s="65" t="s">
        <v>217</v>
      </c>
      <c r="I12" s="65" t="s">
        <v>236</v>
      </c>
      <c r="J12" s="70">
        <v>56.135</v>
      </c>
      <c r="K12" s="75">
        <v>52.3287</v>
      </c>
      <c r="L12" s="75">
        <v>56.517</v>
      </c>
      <c r="M12" s="70">
        <v>2.82584825</v>
      </c>
      <c r="N12" s="75">
        <v>0</v>
      </c>
      <c r="O12" s="75">
        <v>100</v>
      </c>
      <c r="P12" s="70">
        <v>2.5</v>
      </c>
      <c r="Q12" s="75">
        <f>K12*PH_Phase_3_MaterialMU+L12*PH_Phase_3_LaborMU+N12*PH_Phase_3_MaterialMU2+O12*PH_Phase_3_LaborMU2</f>
        <v>62.18797</v>
      </c>
      <c r="R12" s="75">
        <f>(K12+L12+N12+O12+Q12)*PH_Phase_3_FeeMU</f>
        <v>135.516835</v>
      </c>
      <c r="S12" s="75">
        <f>SUM(K12+L12+N12+O12+Q12+R12)</f>
        <v>406.55050499999993</v>
      </c>
      <c r="T12" s="75">
        <f>IF(Total_SimpleSell=0,0,S12/Total_SimpleSell*Total_GC)</f>
        <v>0</v>
      </c>
      <c r="U12" s="75">
        <f>(K12*(PH_Phase_3_MaterialMU+1)*PH_Phase_3_TaxRateMaterial+L12*(PH_Phase_3_LaborMU+1)*PH_Phase_3_TaxRateLabor+N12*(PH_Phase_3_MaterialMU2+1)*PH_Phase_3_TaxRateMaterial2+O12*(PH_Phase_3_LaborMU2+1)*PH_Phase_3_TaxRateLabor2+R12*PH_Phase_3_TaxRateProfit+T12*TaxRateGC)</f>
        <v>0</v>
      </c>
      <c r="V12" s="75">
        <f>SUM(S12+T12+U12)</f>
        <v>406.55050499999993</v>
      </c>
    </row>
    <row r="13" spans="2:22" ht="12.75" outlineLevel="1">
      <c r="B13" s="65">
        <v>17</v>
      </c>
      <c r="C13" s="65">
        <v>2</v>
      </c>
      <c r="D13" s="65" t="s">
        <v>224</v>
      </c>
      <c r="E13" s="65" t="s">
        <v>237</v>
      </c>
      <c r="F13" s="65" t="s">
        <v>238</v>
      </c>
      <c r="G13" s="65"/>
      <c r="H13" s="65" t="s">
        <v>217</v>
      </c>
      <c r="I13" s="65" t="s">
        <v>236</v>
      </c>
      <c r="J13" s="70">
        <v>226.2</v>
      </c>
      <c r="K13" s="75">
        <v>390.3847</v>
      </c>
      <c r="L13" s="75">
        <v>123.5236</v>
      </c>
      <c r="M13" s="70">
        <v>6.176179500000001</v>
      </c>
      <c r="N13" s="75">
        <v>0</v>
      </c>
      <c r="O13" s="75">
        <v>40</v>
      </c>
      <c r="P13" s="70">
        <v>1</v>
      </c>
      <c r="Q13" s="75">
        <f>K13*PH_Phase_3_MaterialMU+L13*PH_Phase_3_LaborMU+N13*PH_Phase_3_MaterialMU2+O13*PH_Phase_3_LaborMU2</f>
        <v>92.09555</v>
      </c>
      <c r="R13" s="75">
        <f>(K13+L13+N13+O13+Q13)*PH_Phase_3_FeeMU</f>
        <v>323.001925</v>
      </c>
      <c r="S13" s="75">
        <f>SUM(K13+L13+N13+O13+Q13+R13)</f>
        <v>969.0057750000001</v>
      </c>
      <c r="T13" s="75">
        <f>IF(Total_SimpleSell=0,0,S13/Total_SimpleSell*Total_GC)</f>
        <v>0</v>
      </c>
      <c r="U13" s="75">
        <f>(K13*(PH_Phase_3_MaterialMU+1)*PH_Phase_3_TaxRateMaterial+L13*(PH_Phase_3_LaborMU+1)*PH_Phase_3_TaxRateLabor+N13*(PH_Phase_3_MaterialMU2+1)*PH_Phase_3_TaxRateMaterial2+O13*(PH_Phase_3_LaborMU2+1)*PH_Phase_3_TaxRateLabor2+R13*PH_Phase_3_TaxRateProfit+T13*TaxRateGC)</f>
        <v>0</v>
      </c>
      <c r="V13" s="75">
        <f>SUM(S13+T13+U13)</f>
        <v>969.0057750000001</v>
      </c>
    </row>
    <row r="14" spans="2:22" ht="12.75" outlineLevel="1">
      <c r="B14" s="65">
        <v>18</v>
      </c>
      <c r="C14" s="65">
        <v>1</v>
      </c>
      <c r="D14" s="65" t="s">
        <v>239</v>
      </c>
      <c r="E14" s="65" t="s">
        <v>240</v>
      </c>
      <c r="F14" s="65" t="s">
        <v>216</v>
      </c>
      <c r="G14" s="65"/>
      <c r="H14" s="65" t="s">
        <v>217</v>
      </c>
      <c r="I14" s="65" t="s">
        <v>236</v>
      </c>
      <c r="J14" s="70">
        <v>121.04984722222221</v>
      </c>
      <c r="K14" s="75">
        <v>143.1788</v>
      </c>
      <c r="L14" s="75">
        <v>81.3543</v>
      </c>
      <c r="M14" s="70">
        <v>4.067717131944444</v>
      </c>
      <c r="N14" s="75">
        <v>0</v>
      </c>
      <c r="O14" s="75">
        <v>40.6667</v>
      </c>
      <c r="P14" s="70">
        <v>1.0166666666666666</v>
      </c>
      <c r="Q14" s="75">
        <f>K14*PH_Phase_3_MaterialMU+L14*PH_Phase_3_LaborMU+N14*PH_Phase_3_MaterialMU2+O14*PH_Phase_3_LaborMU2</f>
        <v>54.99085</v>
      </c>
      <c r="R14" s="75">
        <f>(K14+L14+N14+O14+Q14)*PH_Phase_3_FeeMU</f>
        <v>160.095325</v>
      </c>
      <c r="S14" s="75">
        <f>SUM(K14+L14+N14+O14+Q14+R14)</f>
        <v>480.285975</v>
      </c>
      <c r="T14" s="75">
        <f>IF(Total_SimpleSell=0,0,S14/Total_SimpleSell*Total_GC)</f>
        <v>0</v>
      </c>
      <c r="U14" s="75">
        <f>(K14*(PH_Phase_3_MaterialMU+1)*PH_Phase_3_TaxRateMaterial+L14*(PH_Phase_3_LaborMU+1)*PH_Phase_3_TaxRateLabor+N14*(PH_Phase_3_MaterialMU2+1)*PH_Phase_3_TaxRateMaterial2+O14*(PH_Phase_3_LaborMU2+1)*PH_Phase_3_TaxRateLabor2+R14*PH_Phase_3_TaxRateProfit+T14*TaxRateGC)</f>
        <v>0</v>
      </c>
      <c r="V14" s="75">
        <f>SUM(S14+T14+U14)</f>
        <v>480.285975</v>
      </c>
    </row>
    <row r="15" spans="2:22" ht="12.75" outlineLevel="1">
      <c r="B15" s="65">
        <v>19</v>
      </c>
      <c r="C15" s="65">
        <v>4</v>
      </c>
      <c r="D15" s="65" t="s">
        <v>241</v>
      </c>
      <c r="E15" s="65" t="s">
        <v>215</v>
      </c>
      <c r="F15" s="65" t="s">
        <v>222</v>
      </c>
      <c r="G15" s="65"/>
      <c r="H15" s="65" t="s">
        <v>217</v>
      </c>
      <c r="I15" s="65" t="s">
        <v>236</v>
      </c>
      <c r="J15" s="70">
        <v>180</v>
      </c>
      <c r="K15" s="75">
        <v>0</v>
      </c>
      <c r="L15" s="75">
        <v>0</v>
      </c>
      <c r="M15" s="70">
        <v>0</v>
      </c>
      <c r="N15" s="75">
        <v>1000</v>
      </c>
      <c r="O15" s="75">
        <v>0</v>
      </c>
      <c r="P15" s="70">
        <v>0</v>
      </c>
      <c r="Q15" s="75">
        <f>K15*PH_Phase_3_MaterialMU+L15*PH_Phase_3_LaborMU+N15*PH_Phase_3_MaterialMU2+O15*PH_Phase_3_LaborMU2</f>
        <v>200</v>
      </c>
      <c r="R15" s="75">
        <f>(K15+L15+N15+O15+Q15)*PH_Phase_3_FeeMU</f>
        <v>600</v>
      </c>
      <c r="S15" s="75">
        <f>SUM(K15+L15+N15+O15+Q15+R15)</f>
        <v>1800</v>
      </c>
      <c r="T15" s="75">
        <f>IF(Total_SimpleSell=0,0,S15/Total_SimpleSell*Total_GC)</f>
        <v>0</v>
      </c>
      <c r="U15" s="75">
        <f>(K15*(PH_Phase_3_MaterialMU+1)*PH_Phase_3_TaxRateMaterial+L15*(PH_Phase_3_LaborMU+1)*PH_Phase_3_TaxRateLabor+N15*(PH_Phase_3_MaterialMU2+1)*PH_Phase_3_TaxRateMaterial2+O15*(PH_Phase_3_LaborMU2+1)*PH_Phase_3_TaxRateLabor2+R15*PH_Phase_3_TaxRateProfit+T15*TaxRateGC)</f>
        <v>0</v>
      </c>
      <c r="V15" s="75">
        <f>SUM(S15+T15+U15)</f>
        <v>1800</v>
      </c>
    </row>
    <row r="16" spans="2:22" ht="12.75">
      <c r="B16" s="66"/>
      <c r="C16" s="66">
        <f>SUBTOTAL(9,C12:C15)</f>
        <v>8</v>
      </c>
      <c r="D16" s="66"/>
      <c r="E16" s="66"/>
      <c r="F16" s="66"/>
      <c r="G16" s="66"/>
      <c r="H16" s="66"/>
      <c r="I16" s="66"/>
      <c r="J16" s="71">
        <f>SUBTOTAL(9,J12:J15)</f>
        <v>583.3848472222222</v>
      </c>
      <c r="K16" s="76">
        <f>SUBTOTAL(9,K12:K15)</f>
        <v>585.8922</v>
      </c>
      <c r="L16" s="76">
        <f>SUBTOTAL(9,L12:L15)</f>
        <v>261.3949</v>
      </c>
      <c r="M16" s="71">
        <f>SUBTOTAL(9,M12:M15)</f>
        <v>13.069744881944445</v>
      </c>
      <c r="N16" s="76">
        <f>SUBTOTAL(9,N12:N15)</f>
        <v>1000</v>
      </c>
      <c r="O16" s="76">
        <f>SUBTOTAL(9,O12:O15)</f>
        <v>180.6667</v>
      </c>
      <c r="P16" s="71">
        <f>SUBTOTAL(9,P12:P15)</f>
        <v>4.516666666666667</v>
      </c>
      <c r="Q16" s="76">
        <f>SUBTOTAL(9,Q12:Q15)</f>
        <v>409.27437</v>
      </c>
      <c r="R16" s="76">
        <f>SUBTOTAL(9,R12:R15)</f>
        <v>1218.6140850000002</v>
      </c>
      <c r="S16" s="76">
        <f>SUBTOTAL(9,S12:S15)</f>
        <v>3655.842255</v>
      </c>
      <c r="T16" s="76">
        <f>SUBTOTAL(9,T12:T15)</f>
        <v>0</v>
      </c>
      <c r="U16" s="76">
        <f>SUBTOTAL(9,U12:U15)</f>
        <v>0</v>
      </c>
      <c r="V16" s="76">
        <f>SUBTOTAL(9,V12:V15)</f>
        <v>3655.842255</v>
      </c>
    </row>
    <row r="17" spans="10:22" ht="12.75">
      <c r="J17" s="45"/>
      <c r="K17" s="73"/>
      <c r="L17" s="73"/>
      <c r="M17" s="45"/>
      <c r="N17" s="73"/>
      <c r="O17" s="73"/>
      <c r="P17" s="45"/>
      <c r="Q17" s="73"/>
      <c r="R17" s="73"/>
      <c r="S17" s="73"/>
      <c r="T17" s="73"/>
      <c r="U17" s="73"/>
      <c r="V17" s="73"/>
    </row>
    <row r="18" spans="10:22" ht="12.75">
      <c r="J18" s="45"/>
      <c r="K18" s="73"/>
      <c r="L18" s="73"/>
      <c r="M18" s="45"/>
      <c r="N18" s="73"/>
      <c r="O18" s="73"/>
      <c r="P18" s="45"/>
      <c r="Q18" s="73"/>
      <c r="R18" s="73"/>
      <c r="S18" s="73"/>
      <c r="T18" s="73"/>
      <c r="U18" s="73"/>
      <c r="V18" s="73"/>
    </row>
    <row r="19" spans="4:22" ht="12.75">
      <c r="D19" s="67" t="s">
        <v>266</v>
      </c>
      <c r="E19" s="68"/>
      <c r="F19" s="68"/>
      <c r="G19" s="68"/>
      <c r="H19" s="68"/>
      <c r="I19" s="68"/>
      <c r="J19" s="72">
        <f>SUBTOTAL(9,J10:J18)</f>
        <v>583.3848472222222</v>
      </c>
      <c r="K19" s="77">
        <f>SUBTOTAL(9,K10:K18)</f>
        <v>585.8922</v>
      </c>
      <c r="L19" s="77">
        <f>SUBTOTAL(9,L10:L18)</f>
        <v>261.3949</v>
      </c>
      <c r="M19" s="72">
        <f>SUBTOTAL(9,M10:M18)</f>
        <v>13.069744881944445</v>
      </c>
      <c r="N19" s="77">
        <f>SUBTOTAL(9,N10:N18)</f>
        <v>1000</v>
      </c>
      <c r="O19" s="77">
        <f>SUBTOTAL(9,O10:O18)</f>
        <v>180.6667</v>
      </c>
      <c r="P19" s="72">
        <f>SUBTOTAL(9,P10:P18)</f>
        <v>4.516666666666667</v>
      </c>
      <c r="Q19" s="77">
        <f>SUBTOTAL(9,Q10:Q18)</f>
        <v>409.27437</v>
      </c>
      <c r="R19" s="77">
        <f>SUBTOTAL(9,R10:R18)</f>
        <v>1218.6140850000002</v>
      </c>
      <c r="S19" s="77">
        <f>SUBTOTAL(9,S10:S18)</f>
        <v>3655.842255</v>
      </c>
      <c r="T19" s="77">
        <f>SUBTOTAL(9,T10:T18)</f>
        <v>0</v>
      </c>
      <c r="U19" s="77">
        <f>SUBTOTAL(9,U10:U18)</f>
        <v>0</v>
      </c>
      <c r="V19" s="78">
        <f>SUBTOTAL(9,V10:V18)</f>
        <v>3655.842255</v>
      </c>
    </row>
    <row r="20" spans="10:22" ht="12.75">
      <c r="J20" s="45"/>
      <c r="K20" s="73"/>
      <c r="L20" s="73"/>
      <c r="M20" s="45"/>
      <c r="N20" s="73"/>
      <c r="O20" s="73"/>
      <c r="P20" s="45"/>
      <c r="Q20" s="73"/>
      <c r="R20" s="73"/>
      <c r="S20" s="73"/>
      <c r="T20" s="73"/>
      <c r="U20" s="73"/>
      <c r="V20" s="73"/>
    </row>
    <row r="21" spans="1:22" ht="15.75">
      <c r="A21" s="63" t="s">
        <v>10</v>
      </c>
      <c r="J21" s="45"/>
      <c r="K21" s="73"/>
      <c r="L21" s="73"/>
      <c r="M21" s="45"/>
      <c r="N21" s="73"/>
      <c r="O21" s="73"/>
      <c r="P21" s="45"/>
      <c r="Q21" s="73"/>
      <c r="R21" s="73"/>
      <c r="S21" s="73"/>
      <c r="T21" s="73"/>
      <c r="U21" s="73"/>
      <c r="V21" s="73"/>
    </row>
    <row r="22" spans="10:22" ht="12.75">
      <c r="J22" s="45"/>
      <c r="K22" s="79">
        <f>SUBTOTAL(9,K21:K21)</f>
        <v>0</v>
      </c>
      <c r="L22" s="79"/>
      <c r="M22" s="80"/>
      <c r="N22" s="79"/>
      <c r="O22" s="79"/>
      <c r="P22" s="80"/>
      <c r="Q22" s="79">
        <f>SUBTOTAL(9,Q21:Q21)</f>
        <v>0</v>
      </c>
      <c r="R22" s="79"/>
      <c r="S22" s="79">
        <f>SUBTOTAL(9,S21:S21)</f>
        <v>0</v>
      </c>
      <c r="T22" s="79"/>
      <c r="U22" s="79">
        <f>SUBTOTAL(9,U21:U21)</f>
        <v>0</v>
      </c>
      <c r="V22" s="79">
        <f>SUBTOTAL(9,V21:V21)</f>
        <v>0</v>
      </c>
    </row>
    <row r="23" spans="10:22" ht="12.75">
      <c r="J23" s="45"/>
      <c r="K23" s="73"/>
      <c r="L23" s="73"/>
      <c r="M23" s="45"/>
      <c r="N23" s="73"/>
      <c r="O23" s="73"/>
      <c r="P23" s="45"/>
      <c r="Q23" s="73"/>
      <c r="R23" s="73"/>
      <c r="S23" s="73"/>
      <c r="T23" s="73"/>
      <c r="U23" s="73"/>
      <c r="V23" s="73"/>
    </row>
    <row r="24" spans="10:22" ht="12.75">
      <c r="J24" s="45"/>
      <c r="K24" s="73"/>
      <c r="L24" s="73"/>
      <c r="M24" s="45"/>
      <c r="N24" s="73"/>
      <c r="O24" s="73"/>
      <c r="P24" s="45"/>
      <c r="Q24" s="73"/>
      <c r="R24" s="73"/>
      <c r="S24" s="73"/>
      <c r="T24" s="73"/>
      <c r="U24" s="73"/>
      <c r="V24" s="73"/>
    </row>
    <row r="25" spans="4:22" ht="12.75">
      <c r="D25" s="67" t="s">
        <v>269</v>
      </c>
      <c r="E25" s="68"/>
      <c r="F25" s="68"/>
      <c r="G25" s="68"/>
      <c r="H25" s="68"/>
      <c r="I25" s="68"/>
      <c r="J25" s="72">
        <f>SUBTOTAL(9,J10:J24)</f>
        <v>583.3848472222222</v>
      </c>
      <c r="K25" s="77">
        <f>SUBTOTAL(9,K10:K24)</f>
        <v>585.8922</v>
      </c>
      <c r="L25" s="77">
        <f>SUBTOTAL(9,L10:L24)</f>
        <v>261.3949</v>
      </c>
      <c r="M25" s="72">
        <f>SUBTOTAL(9,M10:M24)</f>
        <v>13.069744881944445</v>
      </c>
      <c r="N25" s="77">
        <f>SUBTOTAL(9,N10:N24)</f>
        <v>1000</v>
      </c>
      <c r="O25" s="77">
        <f>SUBTOTAL(9,O10:O24)</f>
        <v>180.6667</v>
      </c>
      <c r="P25" s="72">
        <f>SUBTOTAL(9,P10:P24)</f>
        <v>4.516666666666667</v>
      </c>
      <c r="Q25" s="77">
        <f>SUBTOTAL(9,Q10:Q24)</f>
        <v>409.27437</v>
      </c>
      <c r="R25" s="77">
        <f>SUBTOTAL(9,R10:R24)</f>
        <v>1218.6140850000002</v>
      </c>
      <c r="S25" s="77">
        <f>SUBTOTAL(9,S10:S24)</f>
        <v>3655.842255</v>
      </c>
      <c r="T25" s="77">
        <f>SUBTOTAL(9,T10:T24)</f>
        <v>0</v>
      </c>
      <c r="U25" s="77">
        <f>SUBTOTAL(9,U10:U24)</f>
        <v>0</v>
      </c>
      <c r="V25" s="78">
        <f>SUBTOTAL(9,V10:V24)</f>
        <v>3655.842255</v>
      </c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Jewellers&amp;CBreakout - Custom&amp;R&amp;P/&amp;N</oddHeader>
    <oddFooter>&amp;LCompany&amp;RWednesday, November 5, 2014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A1" sqref="A1"/>
    </sheetView>
  </sheetViews>
  <sheetFormatPr defaultColWidth="9.140625" defaultRowHeight="12.75" outlineLevelRow="1" outlineLevelCol="1"/>
  <cols>
    <col min="1" max="1" width="23.8515625" style="0" bestFit="1" customWidth="1"/>
    <col min="2" max="2" width="6.8515625" style="0" bestFit="1" customWidth="1"/>
    <col min="3" max="3" width="5.28125" style="0" bestFit="1" customWidth="1"/>
    <col min="4" max="4" width="38.7109375" style="0" bestFit="1" customWidth="1"/>
    <col min="5" max="5" width="10.57421875" style="0" bestFit="1" customWidth="1" outlineLevel="1"/>
    <col min="6" max="6" width="28.00390625" style="0" bestFit="1" customWidth="1" outlineLevel="1"/>
    <col min="7" max="7" width="21.140625" style="0" bestFit="1" customWidth="1" outlineLevel="1"/>
    <col min="8" max="8" width="17.7109375" style="0" bestFit="1" customWidth="1" outlineLevel="1"/>
    <col min="9" max="9" width="18.00390625" style="0" bestFit="1" customWidth="1"/>
    <col min="10" max="10" width="7.42187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00390625" style="0" bestFit="1" customWidth="1" outlineLevel="1"/>
    <col min="17" max="17" width="7.7109375" style="0" bestFit="1" customWidth="1" outlineLevel="1"/>
    <col min="18" max="18" width="8.140625" style="0" bestFit="1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232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2:22" ht="12.75">
      <c r="B11" s="64" t="s">
        <v>196</v>
      </c>
      <c r="C11" s="64" t="s">
        <v>197</v>
      </c>
      <c r="D11" s="64" t="s">
        <v>198</v>
      </c>
      <c r="E11" s="64" t="s">
        <v>199</v>
      </c>
      <c r="F11" s="64" t="s">
        <v>200</v>
      </c>
      <c r="G11" s="64" t="s">
        <v>201</v>
      </c>
      <c r="H11" s="64" t="s">
        <v>202</v>
      </c>
      <c r="I11" s="64" t="s">
        <v>203</v>
      </c>
      <c r="J11" s="69" t="s">
        <v>204</v>
      </c>
      <c r="K11" s="74" t="s">
        <v>205</v>
      </c>
      <c r="L11" s="74" t="s">
        <v>206</v>
      </c>
      <c r="M11" s="69" t="s">
        <v>207</v>
      </c>
      <c r="N11" s="74" t="s">
        <v>208</v>
      </c>
      <c r="O11" s="74" t="s">
        <v>209</v>
      </c>
      <c r="P11" s="69" t="s">
        <v>210</v>
      </c>
      <c r="Q11" s="74" t="s">
        <v>14</v>
      </c>
      <c r="R11" s="74" t="s">
        <v>12</v>
      </c>
      <c r="S11" s="74" t="s">
        <v>211</v>
      </c>
      <c r="T11" s="74" t="s">
        <v>212</v>
      </c>
      <c r="U11" s="74" t="s">
        <v>3</v>
      </c>
      <c r="V11" s="74" t="s">
        <v>213</v>
      </c>
    </row>
    <row r="12" spans="2:22" ht="12.75" outlineLevel="1">
      <c r="B12" s="65">
        <v>26</v>
      </c>
      <c r="C12" s="65">
        <v>2</v>
      </c>
      <c r="D12" s="65" t="s">
        <v>242</v>
      </c>
      <c r="E12" s="65" t="s">
        <v>243</v>
      </c>
      <c r="F12" s="65" t="s">
        <v>216</v>
      </c>
      <c r="G12" s="65" t="s">
        <v>244</v>
      </c>
      <c r="H12" s="65" t="s">
        <v>245</v>
      </c>
      <c r="I12" s="65" t="s">
        <v>218</v>
      </c>
      <c r="J12" s="70">
        <v>144.3</v>
      </c>
      <c r="K12" s="75">
        <v>156</v>
      </c>
      <c r="L12" s="75">
        <v>35</v>
      </c>
      <c r="M12" s="70">
        <v>1.75</v>
      </c>
      <c r="N12" s="75">
        <v>0</v>
      </c>
      <c r="O12" s="75">
        <v>80</v>
      </c>
      <c r="P12" s="70">
        <v>2</v>
      </c>
      <c r="Q12" s="75">
        <f>K12*RV_CCO_1_MaterialMU+L12*RV_CCO_1_LaborMU+N12*RV_CCO_1_MaterialMU2+O12*RV_CCO_1_LaborMU2</f>
        <v>58.1</v>
      </c>
      <c r="R12" s="75">
        <f>(K12+L12+N12+O12+Q12)*RV_CCO_1_FeeMU</f>
        <v>164.55</v>
      </c>
      <c r="S12" s="75">
        <f>SUM(K12+L12+N12+O12+Q12+R12)</f>
        <v>493.65000000000003</v>
      </c>
      <c r="T12" s="75">
        <f>IF(Total_SimpleSell=0,0,S12/Total_SimpleSell*Total_GC)</f>
        <v>0</v>
      </c>
      <c r="U12" s="75">
        <f>(K12*(RV_CCO_1_MaterialMU+1)*RV_CCO_1_TaxRateMaterial+L12*(RV_CCO_1_LaborMU+1)*RV_CCO_1_TaxRateLabor+N12*(RV_CCO_1_MaterialMU2+1)*RV_CCO_1_TaxRateMaterial2+O12*(RV_CCO_1_LaborMU2+1)*RV_CCO_1_TaxRateLabor2+R12*RV_CCO_1_TaxRateProfit+T12*TaxRateGC)</f>
        <v>0</v>
      </c>
      <c r="V12" s="75">
        <f>SUM(S12+T12+U12)</f>
        <v>493.65000000000003</v>
      </c>
    </row>
    <row r="13" spans="2:22" ht="12.75">
      <c r="B13" s="66"/>
      <c r="C13" s="66">
        <f>SUBTOTAL(9,C12:C12)</f>
        <v>2</v>
      </c>
      <c r="D13" s="66"/>
      <c r="E13" s="66"/>
      <c r="F13" s="66"/>
      <c r="G13" s="66"/>
      <c r="H13" s="66"/>
      <c r="I13" s="66"/>
      <c r="J13" s="71">
        <f>SUBTOTAL(9,J12:J12)</f>
        <v>144.3</v>
      </c>
      <c r="K13" s="76">
        <f>SUBTOTAL(9,K12:K12)</f>
        <v>156</v>
      </c>
      <c r="L13" s="76">
        <f>SUBTOTAL(9,L12:L12)</f>
        <v>35</v>
      </c>
      <c r="M13" s="71">
        <f>SUBTOTAL(9,M12:M12)</f>
        <v>1.75</v>
      </c>
      <c r="N13" s="76">
        <f>SUBTOTAL(9,N12:N12)</f>
        <v>0</v>
      </c>
      <c r="O13" s="76">
        <f>SUBTOTAL(9,O12:O12)</f>
        <v>80</v>
      </c>
      <c r="P13" s="71">
        <f>SUBTOTAL(9,P12:P12)</f>
        <v>2</v>
      </c>
      <c r="Q13" s="76">
        <f>SUBTOTAL(9,Q12:Q12)</f>
        <v>58.1</v>
      </c>
      <c r="R13" s="76">
        <f>SUBTOTAL(9,R12:R12)</f>
        <v>164.55</v>
      </c>
      <c r="S13" s="76">
        <f>SUBTOTAL(9,S12:S12)</f>
        <v>493.65000000000003</v>
      </c>
      <c r="T13" s="76">
        <f>SUBTOTAL(9,T12:T12)</f>
        <v>0</v>
      </c>
      <c r="U13" s="76">
        <f>SUBTOTAL(9,U12:U12)</f>
        <v>0</v>
      </c>
      <c r="V13" s="76">
        <f>SUBTOTAL(9,V12:V12)</f>
        <v>493.65000000000003</v>
      </c>
    </row>
    <row r="14" spans="10:22" ht="12.75">
      <c r="J14" s="45"/>
      <c r="K14" s="73"/>
      <c r="L14" s="73"/>
      <c r="M14" s="45"/>
      <c r="N14" s="73"/>
      <c r="O14" s="73"/>
      <c r="P14" s="45"/>
      <c r="Q14" s="73"/>
      <c r="R14" s="73"/>
      <c r="S14" s="73"/>
      <c r="T14" s="73"/>
      <c r="U14" s="73"/>
      <c r="V14" s="73"/>
    </row>
    <row r="15" spans="10:22" ht="12.75">
      <c r="J15" s="45"/>
      <c r="K15" s="73"/>
      <c r="L15" s="73"/>
      <c r="M15" s="45"/>
      <c r="N15" s="73"/>
      <c r="O15" s="73"/>
      <c r="P15" s="45"/>
      <c r="Q15" s="73"/>
      <c r="R15" s="73"/>
      <c r="S15" s="73"/>
      <c r="T15" s="73"/>
      <c r="U15" s="73"/>
      <c r="V15" s="73"/>
    </row>
    <row r="16" spans="4:22" ht="12.75">
      <c r="D16" s="67" t="s">
        <v>266</v>
      </c>
      <c r="E16" s="68"/>
      <c r="F16" s="68"/>
      <c r="G16" s="68"/>
      <c r="H16" s="68"/>
      <c r="I16" s="68"/>
      <c r="J16" s="72">
        <f>SUBTOTAL(9,J10:J15)</f>
        <v>144.3</v>
      </c>
      <c r="K16" s="77">
        <f>SUBTOTAL(9,K10:K15)</f>
        <v>156</v>
      </c>
      <c r="L16" s="77">
        <f>SUBTOTAL(9,L10:L15)</f>
        <v>35</v>
      </c>
      <c r="M16" s="72">
        <f>SUBTOTAL(9,M10:M15)</f>
        <v>1.75</v>
      </c>
      <c r="N16" s="77">
        <f>SUBTOTAL(9,N10:N15)</f>
        <v>0</v>
      </c>
      <c r="O16" s="77">
        <f>SUBTOTAL(9,O10:O15)</f>
        <v>80</v>
      </c>
      <c r="P16" s="72">
        <f>SUBTOTAL(9,P10:P15)</f>
        <v>2</v>
      </c>
      <c r="Q16" s="77">
        <f>SUBTOTAL(9,Q10:Q15)</f>
        <v>58.1</v>
      </c>
      <c r="R16" s="77">
        <f>SUBTOTAL(9,R10:R15)</f>
        <v>164.55</v>
      </c>
      <c r="S16" s="77">
        <f>SUBTOTAL(9,S10:S15)</f>
        <v>493.65000000000003</v>
      </c>
      <c r="T16" s="77">
        <f>SUBTOTAL(9,T10:T15)</f>
        <v>0</v>
      </c>
      <c r="U16" s="77">
        <f>SUBTOTAL(9,U10:U15)</f>
        <v>0</v>
      </c>
      <c r="V16" s="78">
        <f>SUBTOTAL(9,V10:V15)</f>
        <v>493.65000000000003</v>
      </c>
    </row>
    <row r="17" spans="10:22" ht="12.75">
      <c r="J17" s="45"/>
      <c r="K17" s="73"/>
      <c r="L17" s="73"/>
      <c r="M17" s="45"/>
      <c r="N17" s="73"/>
      <c r="O17" s="73"/>
      <c r="P17" s="45"/>
      <c r="Q17" s="73"/>
      <c r="R17" s="73"/>
      <c r="S17" s="73"/>
      <c r="T17" s="73"/>
      <c r="U17" s="73"/>
      <c r="V17" s="73"/>
    </row>
    <row r="18" spans="1:22" ht="15.75">
      <c r="A18" s="63" t="s">
        <v>10</v>
      </c>
      <c r="J18" s="45"/>
      <c r="K18" s="73"/>
      <c r="L18" s="73"/>
      <c r="M18" s="45"/>
      <c r="N18" s="73"/>
      <c r="O18" s="73"/>
      <c r="P18" s="45"/>
      <c r="Q18" s="73"/>
      <c r="R18" s="73"/>
      <c r="S18" s="73"/>
      <c r="T18" s="73"/>
      <c r="U18" s="73"/>
      <c r="V18" s="73"/>
    </row>
    <row r="19" spans="4:22" ht="12.75">
      <c r="D19" t="s">
        <v>261</v>
      </c>
      <c r="F19" t="s">
        <v>262</v>
      </c>
      <c r="I19" t="s">
        <v>263</v>
      </c>
      <c r="J19" s="45"/>
      <c r="K19" s="73">
        <v>450</v>
      </c>
      <c r="L19" s="73"/>
      <c r="M19" s="45"/>
      <c r="N19" s="73"/>
      <c r="O19" s="73"/>
      <c r="P19" s="45"/>
      <c r="Q19" s="73">
        <f>K19*RV_CCO_1_SubContractsMU</f>
        <v>270</v>
      </c>
      <c r="R19" s="73"/>
      <c r="S19" s="73">
        <f>K19+Q19</f>
        <v>720</v>
      </c>
      <c r="T19" s="73"/>
      <c r="U19" s="73">
        <f>S19*RV_CCO_1_TaxRateBO</f>
        <v>0</v>
      </c>
      <c r="V19" s="73">
        <f>S19+U19</f>
        <v>720</v>
      </c>
    </row>
    <row r="20" spans="10:22" ht="12.75">
      <c r="J20" s="45"/>
      <c r="K20" s="79">
        <f>SUBTOTAL(9,K18:K19)</f>
        <v>450</v>
      </c>
      <c r="L20" s="79"/>
      <c r="M20" s="80"/>
      <c r="N20" s="79"/>
      <c r="O20" s="79"/>
      <c r="P20" s="80"/>
      <c r="Q20" s="79">
        <f>SUBTOTAL(9,Q18:Q19)</f>
        <v>270</v>
      </c>
      <c r="R20" s="79"/>
      <c r="S20" s="79">
        <f>SUBTOTAL(9,S18:S19)</f>
        <v>720</v>
      </c>
      <c r="T20" s="79"/>
      <c r="U20" s="79">
        <f>SUBTOTAL(9,U18:U19)</f>
        <v>0</v>
      </c>
      <c r="V20" s="79">
        <f>SUBTOTAL(9,V18:V19)</f>
        <v>720</v>
      </c>
    </row>
    <row r="21" spans="10:22" ht="12.75">
      <c r="J21" s="45"/>
      <c r="K21" s="73"/>
      <c r="L21" s="73"/>
      <c r="M21" s="45"/>
      <c r="N21" s="73"/>
      <c r="O21" s="73"/>
      <c r="P21" s="45"/>
      <c r="Q21" s="73"/>
      <c r="R21" s="73"/>
      <c r="S21" s="73"/>
      <c r="T21" s="73"/>
      <c r="U21" s="73"/>
      <c r="V21" s="73"/>
    </row>
    <row r="22" spans="10:22" ht="12.75">
      <c r="J22" s="45"/>
      <c r="K22" s="73"/>
      <c r="L22" s="73"/>
      <c r="M22" s="45"/>
      <c r="N22" s="73"/>
      <c r="O22" s="73"/>
      <c r="P22" s="45"/>
      <c r="Q22" s="73"/>
      <c r="R22" s="73"/>
      <c r="S22" s="73"/>
      <c r="T22" s="73"/>
      <c r="U22" s="73"/>
      <c r="V22" s="73"/>
    </row>
    <row r="23" spans="4:22" ht="12.75">
      <c r="D23" s="67" t="s">
        <v>270</v>
      </c>
      <c r="E23" s="68"/>
      <c r="F23" s="68"/>
      <c r="G23" s="68"/>
      <c r="H23" s="68"/>
      <c r="I23" s="68"/>
      <c r="J23" s="72">
        <f>SUBTOTAL(9,J10:J22)</f>
        <v>144.3</v>
      </c>
      <c r="K23" s="77">
        <f>SUBTOTAL(9,K10:K22)</f>
        <v>606</v>
      </c>
      <c r="L23" s="77">
        <f>SUBTOTAL(9,L10:L22)</f>
        <v>35</v>
      </c>
      <c r="M23" s="72">
        <f>SUBTOTAL(9,M10:M22)</f>
        <v>1.75</v>
      </c>
      <c r="N23" s="77">
        <f>SUBTOTAL(9,N10:N22)</f>
        <v>0</v>
      </c>
      <c r="O23" s="77">
        <f>SUBTOTAL(9,O10:O22)</f>
        <v>80</v>
      </c>
      <c r="P23" s="72">
        <f>SUBTOTAL(9,P10:P22)</f>
        <v>2</v>
      </c>
      <c r="Q23" s="77">
        <f>SUBTOTAL(9,Q10:Q22)</f>
        <v>328.1</v>
      </c>
      <c r="R23" s="77">
        <f>SUBTOTAL(9,R10:R22)</f>
        <v>164.55</v>
      </c>
      <c r="S23" s="77">
        <f>SUBTOTAL(9,S10:S22)</f>
        <v>1213.65</v>
      </c>
      <c r="T23" s="77">
        <f>SUBTOTAL(9,T10:T22)</f>
        <v>0</v>
      </c>
      <c r="U23" s="77">
        <f>SUBTOTAL(9,U10:U22)</f>
        <v>0</v>
      </c>
      <c r="V23" s="78">
        <f>SUBTOTAL(9,V10:V22)</f>
        <v>1213.65</v>
      </c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Jewellers&amp;CBreakout - Add frames to Reception&amp;R&amp;P/&amp;N</oddHeader>
    <oddFooter>&amp;LCompany&amp;RWednesday, November 5, 2014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 topLeftCell="A1">
      <selection activeCell="A1" sqref="A1"/>
    </sheetView>
  </sheetViews>
  <sheetFormatPr defaultColWidth="9.140625" defaultRowHeight="12.75" outlineLevelRow="1" outlineLevelCol="1"/>
  <cols>
    <col min="1" max="1" width="24.8515625" style="0" bestFit="1" customWidth="1"/>
    <col min="2" max="2" width="6.8515625" style="0" bestFit="1" customWidth="1"/>
    <col min="3" max="3" width="5.28125" style="0" bestFit="1" customWidth="1"/>
    <col min="4" max="4" width="30.7109375" style="0" bestFit="1" customWidth="1"/>
    <col min="5" max="5" width="12.57421875" style="0" bestFit="1" customWidth="1" outlineLevel="1"/>
    <col min="6" max="6" width="30.28125" style="0" bestFit="1" customWidth="1" outlineLevel="1"/>
    <col min="7" max="7" width="15.7109375" style="0" bestFit="1" customWidth="1" outlineLevel="1"/>
    <col min="8" max="8" width="17.28125" style="0" bestFit="1" customWidth="1" outlineLevel="1"/>
    <col min="9" max="9" width="18.00390625" style="0" bestFit="1" customWidth="1"/>
    <col min="10" max="10" width="8.140625" style="0" bestFit="1" customWidth="1"/>
    <col min="11" max="11" width="12.7109375" style="0" bestFit="1" customWidth="1" outlineLevel="1"/>
    <col min="12" max="12" width="10.57421875" style="0" bestFit="1" customWidth="1" outlineLevel="1"/>
    <col min="13" max="13" width="6.00390625" style="0" bestFit="1" customWidth="1" outlineLevel="1"/>
    <col min="14" max="14" width="15.8515625" style="0" bestFit="1" customWidth="1" outlineLevel="1"/>
    <col min="15" max="15" width="10.8515625" style="0" bestFit="1" customWidth="1" outlineLevel="1"/>
    <col min="16" max="16" width="6.57421875" style="0" bestFit="1" customWidth="1" outlineLevel="1"/>
    <col min="17" max="18" width="9.7109375" style="0" bestFit="1" customWidth="1" outlineLevel="1"/>
    <col min="19" max="19" width="10.7109375" style="0" bestFit="1" customWidth="1" outlineLevel="1"/>
    <col min="20" max="20" width="10.57421875" style="0" bestFit="1" customWidth="1" outlineLevel="1"/>
    <col min="21" max="21" width="6.140625" style="0" bestFit="1" customWidth="1" outlineLevel="1"/>
    <col min="22" max="22" width="11.85156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56" t="s">
        <v>193</v>
      </c>
      <c r="B7" s="57">
        <f>Total_SubContractsMU</f>
        <v>0.6</v>
      </c>
      <c r="C7" s="53">
        <f>TaxRateBO</f>
        <v>0</v>
      </c>
    </row>
    <row r="8" spans="1:22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10" spans="1:22" ht="15.75">
      <c r="A10" s="63" t="s">
        <v>195</v>
      </c>
      <c r="J10" s="45"/>
      <c r="K10" s="73"/>
      <c r="L10" s="73"/>
      <c r="M10" s="45"/>
      <c r="N10" s="73"/>
      <c r="O10" s="73"/>
      <c r="P10" s="45"/>
      <c r="Q10" s="73"/>
      <c r="R10" s="73"/>
      <c r="S10" s="73"/>
      <c r="T10" s="73"/>
      <c r="U10" s="73"/>
      <c r="V10" s="73"/>
    </row>
    <row r="11" spans="2:22" ht="12.75">
      <c r="B11" s="64" t="s">
        <v>196</v>
      </c>
      <c r="C11" s="64" t="s">
        <v>197</v>
      </c>
      <c r="D11" s="64" t="s">
        <v>198</v>
      </c>
      <c r="E11" s="64" t="s">
        <v>199</v>
      </c>
      <c r="F11" s="64" t="s">
        <v>200</v>
      </c>
      <c r="G11" s="64" t="s">
        <v>201</v>
      </c>
      <c r="H11" s="64" t="s">
        <v>202</v>
      </c>
      <c r="I11" s="64" t="s">
        <v>203</v>
      </c>
      <c r="J11" s="69" t="s">
        <v>204</v>
      </c>
      <c r="K11" s="74" t="s">
        <v>205</v>
      </c>
      <c r="L11" s="74" t="s">
        <v>206</v>
      </c>
      <c r="M11" s="69" t="s">
        <v>207</v>
      </c>
      <c r="N11" s="74" t="s">
        <v>208</v>
      </c>
      <c r="O11" s="74" t="s">
        <v>209</v>
      </c>
      <c r="P11" s="69" t="s">
        <v>210</v>
      </c>
      <c r="Q11" s="74" t="s">
        <v>14</v>
      </c>
      <c r="R11" s="74" t="s">
        <v>12</v>
      </c>
      <c r="S11" s="74" t="s">
        <v>211</v>
      </c>
      <c r="T11" s="74" t="s">
        <v>212</v>
      </c>
      <c r="U11" s="74" t="s">
        <v>3</v>
      </c>
      <c r="V11" s="74" t="s">
        <v>213</v>
      </c>
    </row>
    <row r="12" spans="2:22" ht="12.75" outlineLevel="1">
      <c r="B12" s="65">
        <v>1</v>
      </c>
      <c r="C12" s="65">
        <v>700</v>
      </c>
      <c r="D12" s="65" t="s">
        <v>214</v>
      </c>
      <c r="E12" s="65" t="s">
        <v>215</v>
      </c>
      <c r="F12" s="65" t="s">
        <v>216</v>
      </c>
      <c r="G12" s="65"/>
      <c r="H12" s="65" t="s">
        <v>217</v>
      </c>
      <c r="I12" s="65" t="s">
        <v>218</v>
      </c>
      <c r="J12" s="70">
        <v>840</v>
      </c>
      <c r="K12" s="75">
        <v>1050</v>
      </c>
      <c r="L12" s="75">
        <v>0</v>
      </c>
      <c r="M12" s="70">
        <v>0</v>
      </c>
      <c r="N12" s="75">
        <v>0</v>
      </c>
      <c r="O12" s="75">
        <v>2800</v>
      </c>
      <c r="P12" s="70">
        <v>70</v>
      </c>
      <c r="Q12" s="75">
        <f>K12*RV_Original_MaterialMU+L12*RV_Original_LaborMU+N12*RV_Original_MaterialMU2+O12*RV_Original_LaborMU2</f>
        <v>1225</v>
      </c>
      <c r="R12" s="75">
        <f>(K12+L12+N12+O12+Q12)*RV_Original_FeeMU</f>
        <v>2537.5</v>
      </c>
      <c r="S12" s="75">
        <f>SUM(K12+L12+N12+O12+Q12+R12)</f>
        <v>7612.5</v>
      </c>
      <c r="T12" s="75">
        <f>IF(Total_SimpleSell=0,0,S12/Total_SimpleSell*Total_GC)</f>
        <v>0</v>
      </c>
      <c r="U12" s="75">
        <f>(K12*(RV_Original_MaterialMU+1)*RV_Original_TaxRateMaterial+L12*(RV_Original_LaborMU+1)*RV_Original_TaxRateLabor+N12*(RV_Original_MaterialMU2+1)*RV_Original_TaxRateMaterial2+O12*(RV_Original_LaborMU2+1)*RV_Original_TaxRateLabor2+R12*RV_Original_TaxRateProfit+T12*TaxRateGC)</f>
        <v>0</v>
      </c>
      <c r="V12" s="75">
        <f>SUM(S12+T12+U12)</f>
        <v>7612.5</v>
      </c>
    </row>
    <row r="13" spans="2:22" ht="12.75">
      <c r="B13" s="66"/>
      <c r="C13" s="66">
        <f>SUBTOTAL(9,C12:C12)</f>
        <v>700</v>
      </c>
      <c r="D13" s="66"/>
      <c r="E13" s="66"/>
      <c r="F13" s="66"/>
      <c r="G13" s="66"/>
      <c r="H13" s="66"/>
      <c r="I13" s="66"/>
      <c r="J13" s="71">
        <f>SUBTOTAL(9,J12:J12)</f>
        <v>840</v>
      </c>
      <c r="K13" s="76">
        <f>SUBTOTAL(9,K12:K12)</f>
        <v>1050</v>
      </c>
      <c r="L13" s="76">
        <f>SUBTOTAL(9,L12:L12)</f>
        <v>0</v>
      </c>
      <c r="M13" s="71">
        <f>SUBTOTAL(9,M12:M12)</f>
        <v>0</v>
      </c>
      <c r="N13" s="76">
        <f>SUBTOTAL(9,N12:N12)</f>
        <v>0</v>
      </c>
      <c r="O13" s="76">
        <f>SUBTOTAL(9,O12:O12)</f>
        <v>2800</v>
      </c>
      <c r="P13" s="71">
        <f>SUBTOTAL(9,P12:P12)</f>
        <v>70</v>
      </c>
      <c r="Q13" s="76">
        <f>SUBTOTAL(9,Q12:Q12)</f>
        <v>1225</v>
      </c>
      <c r="R13" s="76">
        <f>SUBTOTAL(9,R12:R12)</f>
        <v>2537.5</v>
      </c>
      <c r="S13" s="76">
        <f>SUBTOTAL(9,S12:S12)</f>
        <v>7612.5</v>
      </c>
      <c r="T13" s="76">
        <f>SUBTOTAL(9,T12:T12)</f>
        <v>0</v>
      </c>
      <c r="U13" s="76">
        <f>SUBTOTAL(9,U12:U12)</f>
        <v>0</v>
      </c>
      <c r="V13" s="76">
        <f>SUBTOTAL(9,V12:V12)</f>
        <v>7612.5</v>
      </c>
    </row>
    <row r="14" spans="10:22" ht="12.75">
      <c r="J14" s="45"/>
      <c r="K14" s="73"/>
      <c r="L14" s="73"/>
      <c r="M14" s="45"/>
      <c r="N14" s="73"/>
      <c r="O14" s="73"/>
      <c r="P14" s="45"/>
      <c r="Q14" s="73"/>
      <c r="R14" s="73"/>
      <c r="S14" s="73"/>
      <c r="T14" s="73"/>
      <c r="U14" s="73"/>
      <c r="V14" s="73"/>
    </row>
    <row r="15" spans="1:22" ht="15.75">
      <c r="A15" s="63" t="s">
        <v>219</v>
      </c>
      <c r="J15" s="45"/>
      <c r="K15" s="73"/>
      <c r="L15" s="73"/>
      <c r="M15" s="45"/>
      <c r="N15" s="73"/>
      <c r="O15" s="73"/>
      <c r="P15" s="45"/>
      <c r="Q15" s="73"/>
      <c r="R15" s="73"/>
      <c r="S15" s="73"/>
      <c r="T15" s="73"/>
      <c r="U15" s="73"/>
      <c r="V15" s="73"/>
    </row>
    <row r="16" spans="2:22" ht="12.75">
      <c r="B16" s="64" t="s">
        <v>196</v>
      </c>
      <c r="C16" s="64" t="s">
        <v>197</v>
      </c>
      <c r="D16" s="64" t="s">
        <v>198</v>
      </c>
      <c r="E16" s="64" t="s">
        <v>199</v>
      </c>
      <c r="F16" s="64" t="s">
        <v>200</v>
      </c>
      <c r="G16" s="64" t="s">
        <v>201</v>
      </c>
      <c r="H16" s="64" t="s">
        <v>202</v>
      </c>
      <c r="I16" s="64" t="s">
        <v>203</v>
      </c>
      <c r="J16" s="69" t="s">
        <v>204</v>
      </c>
      <c r="K16" s="74" t="s">
        <v>205</v>
      </c>
      <c r="L16" s="74" t="s">
        <v>206</v>
      </c>
      <c r="M16" s="69" t="s">
        <v>207</v>
      </c>
      <c r="N16" s="74" t="s">
        <v>208</v>
      </c>
      <c r="O16" s="74" t="s">
        <v>209</v>
      </c>
      <c r="P16" s="69" t="s">
        <v>210</v>
      </c>
      <c r="Q16" s="74" t="s">
        <v>14</v>
      </c>
      <c r="R16" s="74" t="s">
        <v>12</v>
      </c>
      <c r="S16" s="74" t="s">
        <v>211</v>
      </c>
      <c r="T16" s="74" t="s">
        <v>212</v>
      </c>
      <c r="U16" s="74" t="s">
        <v>3</v>
      </c>
      <c r="V16" s="74" t="s">
        <v>213</v>
      </c>
    </row>
    <row r="17" spans="2:22" ht="12.75" outlineLevel="1">
      <c r="B17" s="65">
        <v>2</v>
      </c>
      <c r="C17" s="65">
        <v>2</v>
      </c>
      <c r="D17" s="65" t="s">
        <v>220</v>
      </c>
      <c r="E17" s="65" t="s">
        <v>221</v>
      </c>
      <c r="F17" s="65" t="s">
        <v>222</v>
      </c>
      <c r="G17" s="65"/>
      <c r="H17" s="65" t="s">
        <v>217</v>
      </c>
      <c r="I17" s="65" t="s">
        <v>223</v>
      </c>
      <c r="J17" s="70">
        <v>186.7</v>
      </c>
      <c r="K17" s="75">
        <v>352.2682</v>
      </c>
      <c r="L17" s="75">
        <v>147.3417</v>
      </c>
      <c r="M17" s="70">
        <v>7.367084</v>
      </c>
      <c r="N17" s="75">
        <v>0</v>
      </c>
      <c r="O17" s="75">
        <v>40</v>
      </c>
      <c r="P17" s="70">
        <v>1</v>
      </c>
      <c r="Q17" s="75">
        <f>K17*RV_Original_MaterialMU+L17*RV_Original_LaborMU+N17*RV_Original_MaterialMU2+O17*RV_Original_LaborMU2</f>
        <v>95.42933</v>
      </c>
      <c r="R17" s="75">
        <f>(K17+L17+N17+O17+Q17)*RV_Original_FeeMU</f>
        <v>317.51961499999993</v>
      </c>
      <c r="S17" s="75">
        <f>SUM(K17+L17+N17+O17+Q17+R17)</f>
        <v>952.5588449999998</v>
      </c>
      <c r="T17" s="75">
        <f>IF(Total_SimpleSell=0,0,S17/Total_SimpleSell*Total_GC)</f>
        <v>0</v>
      </c>
      <c r="U17" s="75">
        <f>(K17*(RV_Original_MaterialMU+1)*RV_Original_TaxRateMaterial+L17*(RV_Original_LaborMU+1)*RV_Original_TaxRateLabor+N17*(RV_Original_MaterialMU2+1)*RV_Original_TaxRateMaterial2+O17*(RV_Original_LaborMU2+1)*RV_Original_TaxRateLabor2+R17*RV_Original_TaxRateProfit+T17*TaxRateGC)</f>
        <v>0</v>
      </c>
      <c r="V17" s="75">
        <f>SUM(S17+T17+U17)</f>
        <v>952.5588449999998</v>
      </c>
    </row>
    <row r="18" spans="2:22" ht="12.75" outlineLevel="1">
      <c r="B18" s="65">
        <v>3</v>
      </c>
      <c r="C18" s="65">
        <v>1</v>
      </c>
      <c r="D18" s="65" t="s">
        <v>224</v>
      </c>
      <c r="E18" s="65" t="s">
        <v>225</v>
      </c>
      <c r="F18" s="65" t="s">
        <v>222</v>
      </c>
      <c r="G18" s="65"/>
      <c r="H18" s="65" t="s">
        <v>217</v>
      </c>
      <c r="I18" s="65" t="s">
        <v>223</v>
      </c>
      <c r="J18" s="70">
        <v>84.09166666666668</v>
      </c>
      <c r="K18" s="75">
        <v>148.6339</v>
      </c>
      <c r="L18" s="75">
        <v>55.8213</v>
      </c>
      <c r="M18" s="70">
        <v>2.7910647500000003</v>
      </c>
      <c r="N18" s="75">
        <v>0</v>
      </c>
      <c r="O18" s="75">
        <v>20</v>
      </c>
      <c r="P18" s="70">
        <v>0.5</v>
      </c>
      <c r="Q18" s="75">
        <f>K18*RV_Original_MaterialMU+L18*RV_Original_LaborMU+N18*RV_Original_MaterialMU2+O18*RV_Original_LaborMU2</f>
        <v>39.60978</v>
      </c>
      <c r="R18" s="75">
        <f>(K18+L18+N18+O18+Q18)*RV_Original_FeeMU</f>
        <v>132.03249</v>
      </c>
      <c r="S18" s="75">
        <f>SUM(K18+L18+N18+O18+Q18+R18)</f>
        <v>396.09747</v>
      </c>
      <c r="T18" s="75">
        <f>IF(Total_SimpleSell=0,0,S18/Total_SimpleSell*Total_GC)</f>
        <v>0</v>
      </c>
      <c r="U18" s="75">
        <f>(K18*(RV_Original_MaterialMU+1)*RV_Original_TaxRateMaterial+L18*(RV_Original_LaborMU+1)*RV_Original_TaxRateLabor+N18*(RV_Original_MaterialMU2+1)*RV_Original_TaxRateMaterial2+O18*(RV_Original_LaborMU2+1)*RV_Original_TaxRateLabor2+R18*RV_Original_TaxRateProfit+T18*TaxRateGC)</f>
        <v>0</v>
      </c>
      <c r="V18" s="75">
        <f>SUM(S18+T18+U18)</f>
        <v>396.09747</v>
      </c>
    </row>
    <row r="19" spans="2:22" ht="12.75" outlineLevel="1">
      <c r="B19" s="65">
        <v>4</v>
      </c>
      <c r="C19" s="65">
        <v>2</v>
      </c>
      <c r="D19" s="65" t="s">
        <v>224</v>
      </c>
      <c r="E19" s="65" t="s">
        <v>225</v>
      </c>
      <c r="F19" s="65" t="s">
        <v>222</v>
      </c>
      <c r="G19" s="65"/>
      <c r="H19" s="65" t="s">
        <v>217</v>
      </c>
      <c r="I19" s="65" t="s">
        <v>223</v>
      </c>
      <c r="J19" s="70">
        <v>153.98333333333335</v>
      </c>
      <c r="K19" s="75">
        <v>289.9408</v>
      </c>
      <c r="L19" s="75">
        <v>107.8248</v>
      </c>
      <c r="M19" s="70">
        <v>5.391239500000002</v>
      </c>
      <c r="N19" s="75">
        <v>0</v>
      </c>
      <c r="O19" s="75">
        <v>40</v>
      </c>
      <c r="P19" s="70">
        <v>1</v>
      </c>
      <c r="Q19" s="75">
        <f>K19*RV_Original_MaterialMU+L19*RV_Original_LaborMU+N19*RV_Original_MaterialMU2+O19*RV_Original_LaborMU2</f>
        <v>77.34152</v>
      </c>
      <c r="R19" s="75">
        <f>(K19+L19+N19+O19+Q19)*RV_Original_FeeMU</f>
        <v>257.55356</v>
      </c>
      <c r="S19" s="75">
        <f>SUM(K19+L19+N19+O19+Q19+R19)</f>
        <v>772.66068</v>
      </c>
      <c r="T19" s="75">
        <f>IF(Total_SimpleSell=0,0,S19/Total_SimpleSell*Total_GC)</f>
        <v>0</v>
      </c>
      <c r="U19" s="75">
        <f>(K19*(RV_Original_MaterialMU+1)*RV_Original_TaxRateMaterial+L19*(RV_Original_LaborMU+1)*RV_Original_TaxRateLabor+N19*(RV_Original_MaterialMU2+1)*RV_Original_TaxRateMaterial2+O19*(RV_Original_LaborMU2+1)*RV_Original_TaxRateLabor2+R19*RV_Original_TaxRateProfit+T19*TaxRateGC)</f>
        <v>0</v>
      </c>
      <c r="V19" s="75">
        <f>SUM(S19+T19+U19)</f>
        <v>772.66068</v>
      </c>
    </row>
    <row r="20" spans="2:22" ht="12.75" outlineLevel="1">
      <c r="B20" s="65">
        <v>5</v>
      </c>
      <c r="C20" s="65">
        <v>1</v>
      </c>
      <c r="D20" s="65" t="s">
        <v>224</v>
      </c>
      <c r="E20" s="65" t="s">
        <v>225</v>
      </c>
      <c r="F20" s="65" t="s">
        <v>222</v>
      </c>
      <c r="G20" s="65"/>
      <c r="H20" s="65" t="s">
        <v>217</v>
      </c>
      <c r="I20" s="65" t="s">
        <v>223</v>
      </c>
      <c r="J20" s="70">
        <v>84.09166666666668</v>
      </c>
      <c r="K20" s="75">
        <v>148.6339</v>
      </c>
      <c r="L20" s="75">
        <v>55.8213</v>
      </c>
      <c r="M20" s="70">
        <v>2.7910647500000003</v>
      </c>
      <c r="N20" s="75">
        <v>0</v>
      </c>
      <c r="O20" s="75">
        <v>20</v>
      </c>
      <c r="P20" s="70">
        <v>0.5</v>
      </c>
      <c r="Q20" s="75">
        <f>K20*RV_Original_MaterialMU+L20*RV_Original_LaborMU+N20*RV_Original_MaterialMU2+O20*RV_Original_LaborMU2</f>
        <v>39.60978</v>
      </c>
      <c r="R20" s="75">
        <f>(K20+L20+N20+O20+Q20)*RV_Original_FeeMU</f>
        <v>132.03249</v>
      </c>
      <c r="S20" s="75">
        <f>SUM(K20+L20+N20+O20+Q20+R20)</f>
        <v>396.09747</v>
      </c>
      <c r="T20" s="75">
        <f>IF(Total_SimpleSell=0,0,S20/Total_SimpleSell*Total_GC)</f>
        <v>0</v>
      </c>
      <c r="U20" s="75">
        <f>(K20*(RV_Original_MaterialMU+1)*RV_Original_TaxRateMaterial+L20*(RV_Original_LaborMU+1)*RV_Original_TaxRateLabor+N20*(RV_Original_MaterialMU2+1)*RV_Original_TaxRateMaterial2+O20*(RV_Original_LaborMU2+1)*RV_Original_TaxRateLabor2+R20*RV_Original_TaxRateProfit+T20*TaxRateGC)</f>
        <v>0</v>
      </c>
      <c r="V20" s="75">
        <f>SUM(S20+T20+U20)</f>
        <v>396.09747</v>
      </c>
    </row>
    <row r="21" spans="2:22" ht="12.75" outlineLevel="1">
      <c r="B21" s="65">
        <v>6</v>
      </c>
      <c r="C21" s="65">
        <v>1</v>
      </c>
      <c r="D21" s="65" t="s">
        <v>226</v>
      </c>
      <c r="E21" s="65" t="s">
        <v>227</v>
      </c>
      <c r="F21" s="65" t="s">
        <v>222</v>
      </c>
      <c r="G21" s="65" t="s">
        <v>228</v>
      </c>
      <c r="H21" s="65" t="s">
        <v>217</v>
      </c>
      <c r="I21" s="65" t="s">
        <v>223</v>
      </c>
      <c r="J21" s="70">
        <v>24.4</v>
      </c>
      <c r="K21" s="75">
        <v>31.4259</v>
      </c>
      <c r="L21" s="75">
        <v>3.4261</v>
      </c>
      <c r="M21" s="70">
        <v>0.171304</v>
      </c>
      <c r="N21" s="75">
        <v>0</v>
      </c>
      <c r="O21" s="75">
        <v>0</v>
      </c>
      <c r="P21" s="70">
        <v>0</v>
      </c>
      <c r="Q21" s="75">
        <f>K21*RV_Original_MaterialMU+L21*RV_Original_LaborMU+N21*RV_Original_MaterialMU2+O21*RV_Original_LaborMU2</f>
        <v>4.17042</v>
      </c>
      <c r="R21" s="75">
        <f>(K21+L21+N21+O21+Q21)*RV_Original_FeeMU</f>
        <v>19.51121</v>
      </c>
      <c r="S21" s="75">
        <f>SUM(K21+L21+N21+O21+Q21+R21)</f>
        <v>58.533629999999995</v>
      </c>
      <c r="T21" s="75">
        <f>IF(Total_SimpleSell=0,0,S21/Total_SimpleSell*Total_GC)</f>
        <v>0</v>
      </c>
      <c r="U21" s="75">
        <f>(K21*(RV_Original_MaterialMU+1)*RV_Original_TaxRateMaterial+L21*(RV_Original_LaborMU+1)*RV_Original_TaxRateLabor+N21*(RV_Original_MaterialMU2+1)*RV_Original_TaxRateMaterial2+O21*(RV_Original_LaborMU2+1)*RV_Original_TaxRateLabor2+R21*RV_Original_TaxRateProfit+T21*TaxRateGC)</f>
        <v>0</v>
      </c>
      <c r="V21" s="75">
        <f>SUM(S21+T21+U21)</f>
        <v>58.533629999999995</v>
      </c>
    </row>
    <row r="22" spans="2:22" ht="12.75" outlineLevel="1">
      <c r="B22" s="65">
        <v>7</v>
      </c>
      <c r="C22" s="65">
        <v>1</v>
      </c>
      <c r="D22" s="65" t="s">
        <v>229</v>
      </c>
      <c r="E22" s="65" t="s">
        <v>230</v>
      </c>
      <c r="F22" s="65" t="s">
        <v>216</v>
      </c>
      <c r="G22" s="65"/>
      <c r="H22" s="65" t="s">
        <v>217</v>
      </c>
      <c r="I22" s="65" t="s">
        <v>223</v>
      </c>
      <c r="J22" s="70">
        <v>43.617749999999994</v>
      </c>
      <c r="K22" s="75">
        <v>49.8059</v>
      </c>
      <c r="L22" s="75">
        <v>24.9107</v>
      </c>
      <c r="M22" s="70">
        <v>1.245534125</v>
      </c>
      <c r="N22" s="75">
        <v>0</v>
      </c>
      <c r="O22" s="75">
        <v>10</v>
      </c>
      <c r="P22" s="70">
        <v>0.25</v>
      </c>
      <c r="Q22" s="75">
        <f>K22*RV_Original_MaterialMU+L22*RV_Original_LaborMU+N22*RV_Original_MaterialMU2+O22*RV_Original_LaborMU2</f>
        <v>16.4538</v>
      </c>
      <c r="R22" s="75">
        <f>(K22+L22+N22+O22+Q22)*RV_Original_FeeMU</f>
        <v>50.5852</v>
      </c>
      <c r="S22" s="75">
        <f>SUM(K22+L22+N22+O22+Q22+R22)</f>
        <v>151.75560000000002</v>
      </c>
      <c r="T22" s="75">
        <f>IF(Total_SimpleSell=0,0,S22/Total_SimpleSell*Total_GC)</f>
        <v>0</v>
      </c>
      <c r="U22" s="75">
        <f>(K22*(RV_Original_MaterialMU+1)*RV_Original_TaxRateMaterial+L22*(RV_Original_LaborMU+1)*RV_Original_TaxRateLabor+N22*(RV_Original_MaterialMU2+1)*RV_Original_TaxRateMaterial2+O22*(RV_Original_LaborMU2+1)*RV_Original_TaxRateLabor2+R22*RV_Original_TaxRateProfit+T22*TaxRateGC)</f>
        <v>0</v>
      </c>
      <c r="V22" s="75">
        <f>SUM(S22+T22+U22)</f>
        <v>151.75560000000002</v>
      </c>
    </row>
    <row r="23" spans="2:22" ht="12.75" outlineLevel="1">
      <c r="B23" s="65">
        <v>8</v>
      </c>
      <c r="C23" s="65">
        <v>100</v>
      </c>
      <c r="D23" s="65" t="s">
        <v>214</v>
      </c>
      <c r="E23" s="65" t="s">
        <v>215</v>
      </c>
      <c r="F23" s="65" t="s">
        <v>216</v>
      </c>
      <c r="G23" s="65"/>
      <c r="H23" s="65" t="s">
        <v>217</v>
      </c>
      <c r="I23" s="65" t="s">
        <v>218</v>
      </c>
      <c r="J23" s="70">
        <v>120</v>
      </c>
      <c r="K23" s="75">
        <v>150</v>
      </c>
      <c r="L23" s="75">
        <v>0</v>
      </c>
      <c r="M23" s="70">
        <v>0</v>
      </c>
      <c r="N23" s="75">
        <v>0</v>
      </c>
      <c r="O23" s="75">
        <v>400</v>
      </c>
      <c r="P23" s="70">
        <v>10</v>
      </c>
      <c r="Q23" s="75">
        <f>K23*RV_Original_MaterialMU+L23*RV_Original_LaborMU+N23*RV_Original_MaterialMU2+O23*RV_Original_LaborMU2</f>
        <v>175</v>
      </c>
      <c r="R23" s="75">
        <f>(K23+L23+N23+O23+Q23)*RV_Original_FeeMU</f>
        <v>362.5</v>
      </c>
      <c r="S23" s="75">
        <f>SUM(K23+L23+N23+O23+Q23+R23)</f>
        <v>1087.5</v>
      </c>
      <c r="T23" s="75">
        <f>IF(Total_SimpleSell=0,0,S23/Total_SimpleSell*Total_GC)</f>
        <v>0</v>
      </c>
      <c r="U23" s="75">
        <f>(K23*(RV_Original_MaterialMU+1)*RV_Original_TaxRateMaterial+L23*(RV_Original_LaborMU+1)*RV_Original_TaxRateLabor+N23*(RV_Original_MaterialMU2+1)*RV_Original_TaxRateMaterial2+O23*(RV_Original_LaborMU2+1)*RV_Original_TaxRateLabor2+R23*RV_Original_TaxRateProfit+T23*TaxRateGC)</f>
        <v>0</v>
      </c>
      <c r="V23" s="75">
        <f>SUM(S23+T23+U23)</f>
        <v>1087.5</v>
      </c>
    </row>
    <row r="24" spans="2:22" ht="12.75">
      <c r="B24" s="66"/>
      <c r="C24" s="66">
        <f>SUBTOTAL(9,C17:C23)</f>
        <v>108</v>
      </c>
      <c r="D24" s="66"/>
      <c r="E24" s="66"/>
      <c r="F24" s="66"/>
      <c r="G24" s="66"/>
      <c r="H24" s="66"/>
      <c r="I24" s="66"/>
      <c r="J24" s="71">
        <f>SUBTOTAL(9,J17:J23)</f>
        <v>696.8844166666668</v>
      </c>
      <c r="K24" s="76">
        <f>SUBTOTAL(9,K17:K23)</f>
        <v>1170.7086</v>
      </c>
      <c r="L24" s="76">
        <f>SUBTOTAL(9,L17:L23)</f>
        <v>395.14590000000004</v>
      </c>
      <c r="M24" s="71">
        <f>SUBTOTAL(9,M17:M23)</f>
        <v>19.757291125000002</v>
      </c>
      <c r="N24" s="76">
        <f>SUBTOTAL(9,N17:N23)</f>
        <v>0</v>
      </c>
      <c r="O24" s="76">
        <f>SUBTOTAL(9,O17:O23)</f>
        <v>530</v>
      </c>
      <c r="P24" s="71">
        <f>SUBTOTAL(9,P17:P23)</f>
        <v>13.25</v>
      </c>
      <c r="Q24" s="76">
        <f>SUBTOTAL(9,Q17:Q23)</f>
        <v>447.61463</v>
      </c>
      <c r="R24" s="76">
        <f>SUBTOTAL(9,R17:R23)</f>
        <v>1271.7345649999997</v>
      </c>
      <c r="S24" s="76">
        <f>SUBTOTAL(9,S17:S23)</f>
        <v>3815.2036949999997</v>
      </c>
      <c r="T24" s="76">
        <f>SUBTOTAL(9,T17:T23)</f>
        <v>0</v>
      </c>
      <c r="U24" s="76">
        <f>SUBTOTAL(9,U17:U23)</f>
        <v>0</v>
      </c>
      <c r="V24" s="76">
        <f>SUBTOTAL(9,V17:V23)</f>
        <v>3815.2036949999997</v>
      </c>
    </row>
    <row r="25" spans="10:22" ht="12.75">
      <c r="J25" s="45"/>
      <c r="K25" s="73"/>
      <c r="L25" s="73"/>
      <c r="M25" s="45"/>
      <c r="N25" s="73"/>
      <c r="O25" s="73"/>
      <c r="P25" s="45"/>
      <c r="Q25" s="73"/>
      <c r="R25" s="73"/>
      <c r="S25" s="73"/>
      <c r="T25" s="73"/>
      <c r="U25" s="73"/>
      <c r="V25" s="73"/>
    </row>
    <row r="26" spans="1:22" ht="15.75">
      <c r="A26" s="63" t="s">
        <v>231</v>
      </c>
      <c r="J26" s="45"/>
      <c r="K26" s="73"/>
      <c r="L26" s="73"/>
      <c r="M26" s="45"/>
      <c r="N26" s="73"/>
      <c r="O26" s="73"/>
      <c r="P26" s="45"/>
      <c r="Q26" s="73"/>
      <c r="R26" s="73"/>
      <c r="S26" s="73"/>
      <c r="T26" s="73"/>
      <c r="U26" s="73"/>
      <c r="V26" s="73"/>
    </row>
    <row r="27" spans="2:22" ht="12.75">
      <c r="B27" s="64" t="s">
        <v>196</v>
      </c>
      <c r="C27" s="64" t="s">
        <v>197</v>
      </c>
      <c r="D27" s="64" t="s">
        <v>198</v>
      </c>
      <c r="E27" s="64" t="s">
        <v>199</v>
      </c>
      <c r="F27" s="64" t="s">
        <v>200</v>
      </c>
      <c r="G27" s="64" t="s">
        <v>201</v>
      </c>
      <c r="H27" s="64" t="s">
        <v>202</v>
      </c>
      <c r="I27" s="64" t="s">
        <v>203</v>
      </c>
      <c r="J27" s="69" t="s">
        <v>204</v>
      </c>
      <c r="K27" s="74" t="s">
        <v>205</v>
      </c>
      <c r="L27" s="74" t="s">
        <v>206</v>
      </c>
      <c r="M27" s="69" t="s">
        <v>207</v>
      </c>
      <c r="N27" s="74" t="s">
        <v>208</v>
      </c>
      <c r="O27" s="74" t="s">
        <v>209</v>
      </c>
      <c r="P27" s="69" t="s">
        <v>210</v>
      </c>
      <c r="Q27" s="74" t="s">
        <v>14</v>
      </c>
      <c r="R27" s="74" t="s">
        <v>12</v>
      </c>
      <c r="S27" s="74" t="s">
        <v>211</v>
      </c>
      <c r="T27" s="74" t="s">
        <v>212</v>
      </c>
      <c r="U27" s="74" t="s">
        <v>3</v>
      </c>
      <c r="V27" s="74" t="s">
        <v>213</v>
      </c>
    </row>
    <row r="28" spans="2:22" ht="12.75" outlineLevel="1">
      <c r="B28" s="65">
        <v>9</v>
      </c>
      <c r="C28" s="65">
        <v>2</v>
      </c>
      <c r="D28" s="65" t="s">
        <v>220</v>
      </c>
      <c r="E28" s="65" t="s">
        <v>221</v>
      </c>
      <c r="F28" s="65" t="s">
        <v>222</v>
      </c>
      <c r="G28" s="65"/>
      <c r="H28" s="65" t="s">
        <v>217</v>
      </c>
      <c r="I28" s="65" t="s">
        <v>223</v>
      </c>
      <c r="J28" s="70">
        <v>186.7</v>
      </c>
      <c r="K28" s="75">
        <v>352.2682</v>
      </c>
      <c r="L28" s="75">
        <v>147.3417</v>
      </c>
      <c r="M28" s="70">
        <v>7.367084</v>
      </c>
      <c r="N28" s="75">
        <v>0</v>
      </c>
      <c r="O28" s="75">
        <v>40</v>
      </c>
      <c r="P28" s="70">
        <v>1</v>
      </c>
      <c r="Q28" s="75">
        <f>K28*RV_Original_MaterialMU+L28*RV_Original_LaborMU+N28*RV_Original_MaterialMU2+O28*RV_Original_LaborMU2</f>
        <v>95.42933</v>
      </c>
      <c r="R28" s="75">
        <f>(K28+L28+N28+O28+Q28)*RV_Original_FeeMU</f>
        <v>317.51961499999993</v>
      </c>
      <c r="S28" s="75">
        <f>SUM(K28+L28+N28+O28+Q28+R28)</f>
        <v>952.5588449999998</v>
      </c>
      <c r="T28" s="75">
        <f>IF(Total_SimpleSell=0,0,S28/Total_SimpleSell*Total_GC)</f>
        <v>0</v>
      </c>
      <c r="U28" s="75">
        <f>(K28*(RV_Original_MaterialMU+1)*RV_Original_TaxRateMaterial+L28*(RV_Original_LaborMU+1)*RV_Original_TaxRateLabor+N28*(RV_Original_MaterialMU2+1)*RV_Original_TaxRateMaterial2+O28*(RV_Original_LaborMU2+1)*RV_Original_TaxRateLabor2+R28*RV_Original_TaxRateProfit+T28*TaxRateGC)</f>
        <v>0</v>
      </c>
      <c r="V28" s="75">
        <f>SUM(S28+T28+U28)</f>
        <v>952.5588449999998</v>
      </c>
    </row>
    <row r="29" spans="2:22" ht="12.75" outlineLevel="1">
      <c r="B29" s="65">
        <v>10</v>
      </c>
      <c r="C29" s="65">
        <v>1</v>
      </c>
      <c r="D29" s="65" t="s">
        <v>224</v>
      </c>
      <c r="E29" s="65" t="s">
        <v>225</v>
      </c>
      <c r="F29" s="65" t="s">
        <v>222</v>
      </c>
      <c r="G29" s="65"/>
      <c r="H29" s="65" t="s">
        <v>217</v>
      </c>
      <c r="I29" s="65" t="s">
        <v>223</v>
      </c>
      <c r="J29" s="70">
        <v>84.09166666666668</v>
      </c>
      <c r="K29" s="75">
        <v>148.6339</v>
      </c>
      <c r="L29" s="75">
        <v>55.8213</v>
      </c>
      <c r="M29" s="70">
        <v>2.7910647500000003</v>
      </c>
      <c r="N29" s="75">
        <v>0</v>
      </c>
      <c r="O29" s="75">
        <v>20</v>
      </c>
      <c r="P29" s="70">
        <v>0.5</v>
      </c>
      <c r="Q29" s="75">
        <f>K29*RV_Original_MaterialMU+L29*RV_Original_LaborMU+N29*RV_Original_MaterialMU2+O29*RV_Original_LaborMU2</f>
        <v>39.60978</v>
      </c>
      <c r="R29" s="75">
        <f>(K29+L29+N29+O29+Q29)*RV_Original_FeeMU</f>
        <v>132.03249</v>
      </c>
      <c r="S29" s="75">
        <f>SUM(K29+L29+N29+O29+Q29+R29)</f>
        <v>396.09747</v>
      </c>
      <c r="T29" s="75">
        <f>IF(Total_SimpleSell=0,0,S29/Total_SimpleSell*Total_GC)</f>
        <v>0</v>
      </c>
      <c r="U29" s="75">
        <f>(K29*(RV_Original_MaterialMU+1)*RV_Original_TaxRateMaterial+L29*(RV_Original_LaborMU+1)*RV_Original_TaxRateLabor+N29*(RV_Original_MaterialMU2+1)*RV_Original_TaxRateMaterial2+O29*(RV_Original_LaborMU2+1)*RV_Original_TaxRateLabor2+R29*RV_Original_TaxRateProfit+T29*TaxRateGC)</f>
        <v>0</v>
      </c>
      <c r="V29" s="75">
        <f>SUM(S29+T29+U29)</f>
        <v>396.09747</v>
      </c>
    </row>
    <row r="30" spans="2:22" ht="12.75" outlineLevel="1">
      <c r="B30" s="65">
        <v>11</v>
      </c>
      <c r="C30" s="65">
        <v>2</v>
      </c>
      <c r="D30" s="65" t="s">
        <v>224</v>
      </c>
      <c r="E30" s="65" t="s">
        <v>225</v>
      </c>
      <c r="F30" s="65" t="s">
        <v>222</v>
      </c>
      <c r="G30" s="65"/>
      <c r="H30" s="65" t="s">
        <v>217</v>
      </c>
      <c r="I30" s="65" t="s">
        <v>223</v>
      </c>
      <c r="J30" s="70">
        <v>153.98333333333335</v>
      </c>
      <c r="K30" s="75">
        <v>289.9408</v>
      </c>
      <c r="L30" s="75">
        <v>107.8248</v>
      </c>
      <c r="M30" s="70">
        <v>5.391239500000002</v>
      </c>
      <c r="N30" s="75">
        <v>0</v>
      </c>
      <c r="O30" s="75">
        <v>40</v>
      </c>
      <c r="P30" s="70">
        <v>1</v>
      </c>
      <c r="Q30" s="75">
        <f>K30*RV_Original_MaterialMU+L30*RV_Original_LaborMU+N30*RV_Original_MaterialMU2+O30*RV_Original_LaborMU2</f>
        <v>77.34152</v>
      </c>
      <c r="R30" s="75">
        <f>(K30+L30+N30+O30+Q30)*RV_Original_FeeMU</f>
        <v>257.55356</v>
      </c>
      <c r="S30" s="75">
        <f>SUM(K30+L30+N30+O30+Q30+R30)</f>
        <v>772.66068</v>
      </c>
      <c r="T30" s="75">
        <f>IF(Total_SimpleSell=0,0,S30/Total_SimpleSell*Total_GC)</f>
        <v>0</v>
      </c>
      <c r="U30" s="75">
        <f>(K30*(RV_Original_MaterialMU+1)*RV_Original_TaxRateMaterial+L30*(RV_Original_LaborMU+1)*RV_Original_TaxRateLabor+N30*(RV_Original_MaterialMU2+1)*RV_Original_TaxRateMaterial2+O30*(RV_Original_LaborMU2+1)*RV_Original_TaxRateLabor2+R30*RV_Original_TaxRateProfit+T30*TaxRateGC)</f>
        <v>0</v>
      </c>
      <c r="V30" s="75">
        <f>SUM(S30+T30+U30)</f>
        <v>772.66068</v>
      </c>
    </row>
    <row r="31" spans="2:22" ht="12.75" outlineLevel="1">
      <c r="B31" s="65">
        <v>12</v>
      </c>
      <c r="C31" s="65">
        <v>1</v>
      </c>
      <c r="D31" s="65" t="s">
        <v>224</v>
      </c>
      <c r="E31" s="65" t="s">
        <v>225</v>
      </c>
      <c r="F31" s="65" t="s">
        <v>222</v>
      </c>
      <c r="G31" s="65"/>
      <c r="H31" s="65" t="s">
        <v>217</v>
      </c>
      <c r="I31" s="65" t="s">
        <v>223</v>
      </c>
      <c r="J31" s="70">
        <v>84.09166666666668</v>
      </c>
      <c r="K31" s="75">
        <v>148.6339</v>
      </c>
      <c r="L31" s="75">
        <v>55.8213</v>
      </c>
      <c r="M31" s="70">
        <v>2.7910647500000003</v>
      </c>
      <c r="N31" s="75">
        <v>0</v>
      </c>
      <c r="O31" s="75">
        <v>20</v>
      </c>
      <c r="P31" s="70">
        <v>0.5</v>
      </c>
      <c r="Q31" s="75">
        <f>K31*RV_Original_MaterialMU+L31*RV_Original_LaborMU+N31*RV_Original_MaterialMU2+O31*RV_Original_LaborMU2</f>
        <v>39.60978</v>
      </c>
      <c r="R31" s="75">
        <f>(K31+L31+N31+O31+Q31)*RV_Original_FeeMU</f>
        <v>132.03249</v>
      </c>
      <c r="S31" s="75">
        <f>SUM(K31+L31+N31+O31+Q31+R31)</f>
        <v>396.09747</v>
      </c>
      <c r="T31" s="75">
        <f>IF(Total_SimpleSell=0,0,S31/Total_SimpleSell*Total_GC)</f>
        <v>0</v>
      </c>
      <c r="U31" s="75">
        <f>(K31*(RV_Original_MaterialMU+1)*RV_Original_TaxRateMaterial+L31*(RV_Original_LaborMU+1)*RV_Original_TaxRateLabor+N31*(RV_Original_MaterialMU2+1)*RV_Original_TaxRateMaterial2+O31*(RV_Original_LaborMU2+1)*RV_Original_TaxRateLabor2+R31*RV_Original_TaxRateProfit+T31*TaxRateGC)</f>
        <v>0</v>
      </c>
      <c r="V31" s="75">
        <f>SUM(S31+T31+U31)</f>
        <v>396.09747</v>
      </c>
    </row>
    <row r="32" spans="2:22" ht="12.75" outlineLevel="1">
      <c r="B32" s="65">
        <v>13</v>
      </c>
      <c r="C32" s="65">
        <v>1</v>
      </c>
      <c r="D32" s="65" t="s">
        <v>226</v>
      </c>
      <c r="E32" s="65" t="s">
        <v>227</v>
      </c>
      <c r="F32" s="65" t="s">
        <v>222</v>
      </c>
      <c r="G32" s="65" t="s">
        <v>228</v>
      </c>
      <c r="H32" s="65" t="s">
        <v>217</v>
      </c>
      <c r="I32" s="65" t="s">
        <v>223</v>
      </c>
      <c r="J32" s="70">
        <v>24.4</v>
      </c>
      <c r="K32" s="75">
        <v>31.4259</v>
      </c>
      <c r="L32" s="75">
        <v>3.4261</v>
      </c>
      <c r="M32" s="70">
        <v>0.171304</v>
      </c>
      <c r="N32" s="75">
        <v>0</v>
      </c>
      <c r="O32" s="75">
        <v>0</v>
      </c>
      <c r="P32" s="70">
        <v>0</v>
      </c>
      <c r="Q32" s="75">
        <f>K32*RV_Original_MaterialMU+L32*RV_Original_LaborMU+N32*RV_Original_MaterialMU2+O32*RV_Original_LaborMU2</f>
        <v>4.17042</v>
      </c>
      <c r="R32" s="75">
        <f>(K32+L32+N32+O32+Q32)*RV_Original_FeeMU</f>
        <v>19.51121</v>
      </c>
      <c r="S32" s="75">
        <f>SUM(K32+L32+N32+O32+Q32+R32)</f>
        <v>58.533629999999995</v>
      </c>
      <c r="T32" s="75">
        <f>IF(Total_SimpleSell=0,0,S32/Total_SimpleSell*Total_GC)</f>
        <v>0</v>
      </c>
      <c r="U32" s="75">
        <f>(K32*(RV_Original_MaterialMU+1)*RV_Original_TaxRateMaterial+L32*(RV_Original_LaborMU+1)*RV_Original_TaxRateLabor+N32*(RV_Original_MaterialMU2+1)*RV_Original_TaxRateMaterial2+O32*(RV_Original_LaborMU2+1)*RV_Original_TaxRateLabor2+R32*RV_Original_TaxRateProfit+T32*TaxRateGC)</f>
        <v>0</v>
      </c>
      <c r="V32" s="75">
        <f>SUM(S32+T32+U32)</f>
        <v>58.533629999999995</v>
      </c>
    </row>
    <row r="33" spans="2:22" ht="12.75" outlineLevel="1">
      <c r="B33" s="65">
        <v>14</v>
      </c>
      <c r="C33" s="65">
        <v>1</v>
      </c>
      <c r="D33" s="65" t="s">
        <v>229</v>
      </c>
      <c r="E33" s="65" t="s">
        <v>230</v>
      </c>
      <c r="F33" s="65" t="s">
        <v>216</v>
      </c>
      <c r="G33" s="65"/>
      <c r="H33" s="65" t="s">
        <v>217</v>
      </c>
      <c r="I33" s="65" t="s">
        <v>223</v>
      </c>
      <c r="J33" s="70">
        <v>43.617749999999994</v>
      </c>
      <c r="K33" s="75">
        <v>49.8059</v>
      </c>
      <c r="L33" s="75">
        <v>24.9107</v>
      </c>
      <c r="M33" s="70">
        <v>1.245534125</v>
      </c>
      <c r="N33" s="75">
        <v>0</v>
      </c>
      <c r="O33" s="75">
        <v>10</v>
      </c>
      <c r="P33" s="70">
        <v>0.25</v>
      </c>
      <c r="Q33" s="75">
        <f>K33*RV_Original_MaterialMU+L33*RV_Original_LaborMU+N33*RV_Original_MaterialMU2+O33*RV_Original_LaborMU2</f>
        <v>16.4538</v>
      </c>
      <c r="R33" s="75">
        <f>(K33+L33+N33+O33+Q33)*RV_Original_FeeMU</f>
        <v>50.5852</v>
      </c>
      <c r="S33" s="75">
        <f>SUM(K33+L33+N33+O33+Q33+R33)</f>
        <v>151.75560000000002</v>
      </c>
      <c r="T33" s="75">
        <f>IF(Total_SimpleSell=0,0,S33/Total_SimpleSell*Total_GC)</f>
        <v>0</v>
      </c>
      <c r="U33" s="75">
        <f>(K33*(RV_Original_MaterialMU+1)*RV_Original_TaxRateMaterial+L33*(RV_Original_LaborMU+1)*RV_Original_TaxRateLabor+N33*(RV_Original_MaterialMU2+1)*RV_Original_TaxRateMaterial2+O33*(RV_Original_LaborMU2+1)*RV_Original_TaxRateLabor2+R33*RV_Original_TaxRateProfit+T33*TaxRateGC)</f>
        <v>0</v>
      </c>
      <c r="V33" s="75">
        <f>SUM(S33+T33+U33)</f>
        <v>151.75560000000002</v>
      </c>
    </row>
    <row r="34" spans="2:22" ht="12.75" outlineLevel="1">
      <c r="B34" s="65">
        <v>15</v>
      </c>
      <c r="C34" s="65">
        <v>100</v>
      </c>
      <c r="D34" s="65" t="s">
        <v>214</v>
      </c>
      <c r="E34" s="65" t="s">
        <v>215</v>
      </c>
      <c r="F34" s="65" t="s">
        <v>216</v>
      </c>
      <c r="G34" s="65"/>
      <c r="H34" s="65" t="s">
        <v>217</v>
      </c>
      <c r="I34" s="65" t="s">
        <v>218</v>
      </c>
      <c r="J34" s="70">
        <v>120</v>
      </c>
      <c r="K34" s="75">
        <v>150</v>
      </c>
      <c r="L34" s="75">
        <v>0</v>
      </c>
      <c r="M34" s="70">
        <v>0</v>
      </c>
      <c r="N34" s="75">
        <v>0</v>
      </c>
      <c r="O34" s="75">
        <v>400</v>
      </c>
      <c r="P34" s="70">
        <v>10</v>
      </c>
      <c r="Q34" s="75">
        <f>K34*RV_Original_MaterialMU+L34*RV_Original_LaborMU+N34*RV_Original_MaterialMU2+O34*RV_Original_LaborMU2</f>
        <v>175</v>
      </c>
      <c r="R34" s="75">
        <f>(K34+L34+N34+O34+Q34)*RV_Original_FeeMU</f>
        <v>362.5</v>
      </c>
      <c r="S34" s="75">
        <f>SUM(K34+L34+N34+O34+Q34+R34)</f>
        <v>1087.5</v>
      </c>
      <c r="T34" s="75">
        <f>IF(Total_SimpleSell=0,0,S34/Total_SimpleSell*Total_GC)</f>
        <v>0</v>
      </c>
      <c r="U34" s="75">
        <f>(K34*(RV_Original_MaterialMU+1)*RV_Original_TaxRateMaterial+L34*(RV_Original_LaborMU+1)*RV_Original_TaxRateLabor+N34*(RV_Original_MaterialMU2+1)*RV_Original_TaxRateMaterial2+O34*(RV_Original_LaborMU2+1)*RV_Original_TaxRateLabor2+R34*RV_Original_TaxRateProfit+T34*TaxRateGC)</f>
        <v>0</v>
      </c>
      <c r="V34" s="75">
        <f>SUM(S34+T34+U34)</f>
        <v>1087.5</v>
      </c>
    </row>
    <row r="35" spans="2:22" ht="12.75">
      <c r="B35" s="66"/>
      <c r="C35" s="66">
        <f>SUBTOTAL(9,C28:C34)</f>
        <v>108</v>
      </c>
      <c r="D35" s="66"/>
      <c r="E35" s="66"/>
      <c r="F35" s="66"/>
      <c r="G35" s="66"/>
      <c r="H35" s="66"/>
      <c r="I35" s="66"/>
      <c r="J35" s="71">
        <f>SUBTOTAL(9,J28:J34)</f>
        <v>696.8844166666668</v>
      </c>
      <c r="K35" s="76">
        <f>SUBTOTAL(9,K28:K34)</f>
        <v>1170.7086</v>
      </c>
      <c r="L35" s="76">
        <f>SUBTOTAL(9,L28:L34)</f>
        <v>395.14590000000004</v>
      </c>
      <c r="M35" s="71">
        <f>SUBTOTAL(9,M28:M34)</f>
        <v>19.757291125000002</v>
      </c>
      <c r="N35" s="76">
        <f>SUBTOTAL(9,N28:N34)</f>
        <v>0</v>
      </c>
      <c r="O35" s="76">
        <f>SUBTOTAL(9,O28:O34)</f>
        <v>530</v>
      </c>
      <c r="P35" s="71">
        <f>SUBTOTAL(9,P28:P34)</f>
        <v>13.25</v>
      </c>
      <c r="Q35" s="76">
        <f>SUBTOTAL(9,Q28:Q34)</f>
        <v>447.61463</v>
      </c>
      <c r="R35" s="76">
        <f>SUBTOTAL(9,R28:R34)</f>
        <v>1271.7345649999997</v>
      </c>
      <c r="S35" s="76">
        <f>SUBTOTAL(9,S28:S34)</f>
        <v>3815.2036949999997</v>
      </c>
      <c r="T35" s="76">
        <f>SUBTOTAL(9,T28:T34)</f>
        <v>0</v>
      </c>
      <c r="U35" s="76">
        <f>SUBTOTAL(9,U28:U34)</f>
        <v>0</v>
      </c>
      <c r="V35" s="76">
        <f>SUBTOTAL(9,V28:V34)</f>
        <v>3815.2036949999997</v>
      </c>
    </row>
    <row r="36" spans="10:22" ht="12.75">
      <c r="J36" s="45"/>
      <c r="K36" s="73"/>
      <c r="L36" s="73"/>
      <c r="M36" s="45"/>
      <c r="N36" s="73"/>
      <c r="O36" s="73"/>
      <c r="P36" s="45"/>
      <c r="Q36" s="73"/>
      <c r="R36" s="73"/>
      <c r="S36" s="73"/>
      <c r="T36" s="73"/>
      <c r="U36" s="73"/>
      <c r="V36" s="73"/>
    </row>
    <row r="37" spans="1:22" ht="15.75">
      <c r="A37" s="63" t="s">
        <v>232</v>
      </c>
      <c r="J37" s="45"/>
      <c r="K37" s="73"/>
      <c r="L37" s="73"/>
      <c r="M37" s="45"/>
      <c r="N37" s="73"/>
      <c r="O37" s="73"/>
      <c r="P37" s="45"/>
      <c r="Q37" s="73"/>
      <c r="R37" s="73"/>
      <c r="S37" s="73"/>
      <c r="T37" s="73"/>
      <c r="U37" s="73"/>
      <c r="V37" s="73"/>
    </row>
    <row r="38" spans="2:22" ht="12.75">
      <c r="B38" s="64" t="s">
        <v>196</v>
      </c>
      <c r="C38" s="64" t="s">
        <v>197</v>
      </c>
      <c r="D38" s="64" t="s">
        <v>198</v>
      </c>
      <c r="E38" s="64" t="s">
        <v>199</v>
      </c>
      <c r="F38" s="64" t="s">
        <v>200</v>
      </c>
      <c r="G38" s="64" t="s">
        <v>201</v>
      </c>
      <c r="H38" s="64" t="s">
        <v>202</v>
      </c>
      <c r="I38" s="64" t="s">
        <v>203</v>
      </c>
      <c r="J38" s="69" t="s">
        <v>204</v>
      </c>
      <c r="K38" s="74" t="s">
        <v>205</v>
      </c>
      <c r="L38" s="74" t="s">
        <v>206</v>
      </c>
      <c r="M38" s="69" t="s">
        <v>207</v>
      </c>
      <c r="N38" s="74" t="s">
        <v>208</v>
      </c>
      <c r="O38" s="74" t="s">
        <v>209</v>
      </c>
      <c r="P38" s="69" t="s">
        <v>210</v>
      </c>
      <c r="Q38" s="74" t="s">
        <v>14</v>
      </c>
      <c r="R38" s="74" t="s">
        <v>12</v>
      </c>
      <c r="S38" s="74" t="s">
        <v>211</v>
      </c>
      <c r="T38" s="74" t="s">
        <v>212</v>
      </c>
      <c r="U38" s="74" t="s">
        <v>3</v>
      </c>
      <c r="V38" s="74" t="s">
        <v>213</v>
      </c>
    </row>
    <row r="39" spans="2:22" ht="12.75" outlineLevel="1">
      <c r="B39" s="65">
        <v>16</v>
      </c>
      <c r="C39" s="65">
        <v>1</v>
      </c>
      <c r="D39" s="65" t="s">
        <v>233</v>
      </c>
      <c r="E39" s="65" t="s">
        <v>234</v>
      </c>
      <c r="F39" s="65" t="s">
        <v>216</v>
      </c>
      <c r="G39" s="65" t="s">
        <v>235</v>
      </c>
      <c r="H39" s="65" t="s">
        <v>217</v>
      </c>
      <c r="I39" s="65" t="s">
        <v>236</v>
      </c>
      <c r="J39" s="70">
        <v>56.135</v>
      </c>
      <c r="K39" s="75">
        <v>52.3287</v>
      </c>
      <c r="L39" s="75">
        <v>56.517</v>
      </c>
      <c r="M39" s="70">
        <v>2.82584825</v>
      </c>
      <c r="N39" s="75">
        <v>0</v>
      </c>
      <c r="O39" s="75">
        <v>100</v>
      </c>
      <c r="P39" s="70">
        <v>2.5</v>
      </c>
      <c r="Q39" s="75">
        <f>K39*RV_Original_MaterialMU+L39*RV_Original_LaborMU+N39*RV_Original_MaterialMU2+O39*RV_Original_LaborMU2</f>
        <v>62.18797</v>
      </c>
      <c r="R39" s="75">
        <f>(K39+L39+N39+O39+Q39)*RV_Original_FeeMU</f>
        <v>135.516835</v>
      </c>
      <c r="S39" s="75">
        <f>SUM(K39+L39+N39+O39+Q39+R39)</f>
        <v>406.55050499999993</v>
      </c>
      <c r="T39" s="75">
        <f>IF(Total_SimpleSell=0,0,S39/Total_SimpleSell*Total_GC)</f>
        <v>0</v>
      </c>
      <c r="U39" s="75">
        <f>(K39*(RV_Original_MaterialMU+1)*RV_Original_TaxRateMaterial+L39*(RV_Original_LaborMU+1)*RV_Original_TaxRateLabor+N39*(RV_Original_MaterialMU2+1)*RV_Original_TaxRateMaterial2+O39*(RV_Original_LaborMU2+1)*RV_Original_TaxRateLabor2+R39*RV_Original_TaxRateProfit+T39*TaxRateGC)</f>
        <v>0</v>
      </c>
      <c r="V39" s="75">
        <f>SUM(S39+T39+U39)</f>
        <v>406.55050499999993</v>
      </c>
    </row>
    <row r="40" spans="2:22" ht="12.75" outlineLevel="1">
      <c r="B40" s="65">
        <v>17</v>
      </c>
      <c r="C40" s="65">
        <v>2</v>
      </c>
      <c r="D40" s="65" t="s">
        <v>224</v>
      </c>
      <c r="E40" s="65" t="s">
        <v>237</v>
      </c>
      <c r="F40" s="65" t="s">
        <v>238</v>
      </c>
      <c r="G40" s="65"/>
      <c r="H40" s="65" t="s">
        <v>217</v>
      </c>
      <c r="I40" s="65" t="s">
        <v>236</v>
      </c>
      <c r="J40" s="70">
        <v>226.2</v>
      </c>
      <c r="K40" s="75">
        <v>390.3847</v>
      </c>
      <c r="L40" s="75">
        <v>123.5236</v>
      </c>
      <c r="M40" s="70">
        <v>6.176179500000001</v>
      </c>
      <c r="N40" s="75">
        <v>0</v>
      </c>
      <c r="O40" s="75">
        <v>40</v>
      </c>
      <c r="P40" s="70">
        <v>1</v>
      </c>
      <c r="Q40" s="75">
        <f>K40*RV_Original_MaterialMU+L40*RV_Original_LaborMU+N40*RV_Original_MaterialMU2+O40*RV_Original_LaborMU2</f>
        <v>92.09555</v>
      </c>
      <c r="R40" s="75">
        <f>(K40+L40+N40+O40+Q40)*RV_Original_FeeMU</f>
        <v>323.001925</v>
      </c>
      <c r="S40" s="75">
        <f>SUM(K40+L40+N40+O40+Q40+R40)</f>
        <v>969.0057750000001</v>
      </c>
      <c r="T40" s="75">
        <f>IF(Total_SimpleSell=0,0,S40/Total_SimpleSell*Total_GC)</f>
        <v>0</v>
      </c>
      <c r="U40" s="75">
        <f>(K40*(RV_Original_MaterialMU+1)*RV_Original_TaxRateMaterial+L40*(RV_Original_LaborMU+1)*RV_Original_TaxRateLabor+N40*(RV_Original_MaterialMU2+1)*RV_Original_TaxRateMaterial2+O40*(RV_Original_LaborMU2+1)*RV_Original_TaxRateLabor2+R40*RV_Original_TaxRateProfit+T40*TaxRateGC)</f>
        <v>0</v>
      </c>
      <c r="V40" s="75">
        <f>SUM(S40+T40+U40)</f>
        <v>969.0057750000001</v>
      </c>
    </row>
    <row r="41" spans="2:22" ht="12.75" outlineLevel="1">
      <c r="B41" s="65">
        <v>18</v>
      </c>
      <c r="C41" s="65">
        <v>1</v>
      </c>
      <c r="D41" s="65" t="s">
        <v>239</v>
      </c>
      <c r="E41" s="65" t="s">
        <v>240</v>
      </c>
      <c r="F41" s="65" t="s">
        <v>216</v>
      </c>
      <c r="G41" s="65"/>
      <c r="H41" s="65" t="s">
        <v>217</v>
      </c>
      <c r="I41" s="65" t="s">
        <v>236</v>
      </c>
      <c r="J41" s="70">
        <v>121.04984722222221</v>
      </c>
      <c r="K41" s="75">
        <v>143.1788</v>
      </c>
      <c r="L41" s="75">
        <v>81.3543</v>
      </c>
      <c r="M41" s="70">
        <v>4.067717131944444</v>
      </c>
      <c r="N41" s="75">
        <v>0</v>
      </c>
      <c r="O41" s="75">
        <v>40.6667</v>
      </c>
      <c r="P41" s="70">
        <v>1.0166666666666666</v>
      </c>
      <c r="Q41" s="75">
        <f>K41*RV_Original_MaterialMU+L41*RV_Original_LaborMU+N41*RV_Original_MaterialMU2+O41*RV_Original_LaborMU2</f>
        <v>54.99085</v>
      </c>
      <c r="R41" s="75">
        <f>(K41+L41+N41+O41+Q41)*RV_Original_FeeMU</f>
        <v>160.095325</v>
      </c>
      <c r="S41" s="75">
        <f>SUM(K41+L41+N41+O41+Q41+R41)</f>
        <v>480.285975</v>
      </c>
      <c r="T41" s="75">
        <f>IF(Total_SimpleSell=0,0,S41/Total_SimpleSell*Total_GC)</f>
        <v>0</v>
      </c>
      <c r="U41" s="75">
        <f>(K41*(RV_Original_MaterialMU+1)*RV_Original_TaxRateMaterial+L41*(RV_Original_LaborMU+1)*RV_Original_TaxRateLabor+N41*(RV_Original_MaterialMU2+1)*RV_Original_TaxRateMaterial2+O41*(RV_Original_LaborMU2+1)*RV_Original_TaxRateLabor2+R41*RV_Original_TaxRateProfit+T41*TaxRateGC)</f>
        <v>0</v>
      </c>
      <c r="V41" s="75">
        <f>SUM(S41+T41+U41)</f>
        <v>480.285975</v>
      </c>
    </row>
    <row r="42" spans="2:22" ht="12.75" outlineLevel="1">
      <c r="B42" s="65">
        <v>19</v>
      </c>
      <c r="C42" s="65">
        <v>4</v>
      </c>
      <c r="D42" s="65" t="s">
        <v>241</v>
      </c>
      <c r="E42" s="65" t="s">
        <v>215</v>
      </c>
      <c r="F42" s="65" t="s">
        <v>222</v>
      </c>
      <c r="G42" s="65"/>
      <c r="H42" s="65" t="s">
        <v>217</v>
      </c>
      <c r="I42" s="65" t="s">
        <v>236</v>
      </c>
      <c r="J42" s="70">
        <v>180</v>
      </c>
      <c r="K42" s="75">
        <v>0</v>
      </c>
      <c r="L42" s="75">
        <v>0</v>
      </c>
      <c r="M42" s="70">
        <v>0</v>
      </c>
      <c r="N42" s="75">
        <v>1000</v>
      </c>
      <c r="O42" s="75">
        <v>0</v>
      </c>
      <c r="P42" s="70">
        <v>0</v>
      </c>
      <c r="Q42" s="75">
        <f>K42*RV_Original_MaterialMU+L42*RV_Original_LaborMU+N42*RV_Original_MaterialMU2+O42*RV_Original_LaborMU2</f>
        <v>200</v>
      </c>
      <c r="R42" s="75">
        <f>(K42+L42+N42+O42+Q42)*RV_Original_FeeMU</f>
        <v>600</v>
      </c>
      <c r="S42" s="75">
        <f>SUM(K42+L42+N42+O42+Q42+R42)</f>
        <v>1800</v>
      </c>
      <c r="T42" s="75">
        <f>IF(Total_SimpleSell=0,0,S42/Total_SimpleSell*Total_GC)</f>
        <v>0</v>
      </c>
      <c r="U42" s="75">
        <f>(K42*(RV_Original_MaterialMU+1)*RV_Original_TaxRateMaterial+L42*(RV_Original_LaborMU+1)*RV_Original_TaxRateLabor+N42*(RV_Original_MaterialMU2+1)*RV_Original_TaxRateMaterial2+O42*(RV_Original_LaborMU2+1)*RV_Original_TaxRateLabor2+R42*RV_Original_TaxRateProfit+T42*TaxRateGC)</f>
        <v>0</v>
      </c>
      <c r="V42" s="75">
        <f>SUM(S42+T42+U42)</f>
        <v>1800</v>
      </c>
    </row>
    <row r="43" spans="2:22" ht="12.75">
      <c r="B43" s="66"/>
      <c r="C43" s="66">
        <f>SUBTOTAL(9,C39:C42)</f>
        <v>8</v>
      </c>
      <c r="D43" s="66"/>
      <c r="E43" s="66"/>
      <c r="F43" s="66"/>
      <c r="G43" s="66"/>
      <c r="H43" s="66"/>
      <c r="I43" s="66"/>
      <c r="J43" s="71">
        <f>SUBTOTAL(9,J39:J42)</f>
        <v>583.3848472222222</v>
      </c>
      <c r="K43" s="76">
        <f>SUBTOTAL(9,K39:K42)</f>
        <v>585.8922</v>
      </c>
      <c r="L43" s="76">
        <f>SUBTOTAL(9,L39:L42)</f>
        <v>261.3949</v>
      </c>
      <c r="M43" s="71">
        <f>SUBTOTAL(9,M39:M42)</f>
        <v>13.069744881944445</v>
      </c>
      <c r="N43" s="76">
        <f>SUBTOTAL(9,N39:N42)</f>
        <v>1000</v>
      </c>
      <c r="O43" s="76">
        <f>SUBTOTAL(9,O39:O42)</f>
        <v>180.6667</v>
      </c>
      <c r="P43" s="71">
        <f>SUBTOTAL(9,P39:P42)</f>
        <v>4.516666666666667</v>
      </c>
      <c r="Q43" s="76">
        <f>SUBTOTAL(9,Q39:Q42)</f>
        <v>409.27437</v>
      </c>
      <c r="R43" s="76">
        <f>SUBTOTAL(9,R39:R42)</f>
        <v>1218.6140850000002</v>
      </c>
      <c r="S43" s="76">
        <f>SUBTOTAL(9,S39:S42)</f>
        <v>3655.842255</v>
      </c>
      <c r="T43" s="76">
        <f>SUBTOTAL(9,T39:T42)</f>
        <v>0</v>
      </c>
      <c r="U43" s="76">
        <f>SUBTOTAL(9,U39:U42)</f>
        <v>0</v>
      </c>
      <c r="V43" s="76">
        <f>SUBTOTAL(9,V39:V42)</f>
        <v>3655.842255</v>
      </c>
    </row>
    <row r="44" spans="10:22" ht="12.75">
      <c r="J44" s="45"/>
      <c r="K44" s="73"/>
      <c r="L44" s="73"/>
      <c r="M44" s="45"/>
      <c r="N44" s="73"/>
      <c r="O44" s="73"/>
      <c r="P44" s="45"/>
      <c r="Q44" s="73"/>
      <c r="R44" s="73"/>
      <c r="S44" s="73"/>
      <c r="T44" s="73"/>
      <c r="U44" s="73"/>
      <c r="V44" s="73"/>
    </row>
    <row r="45" spans="1:22" ht="15.75">
      <c r="A45" s="63" t="s">
        <v>246</v>
      </c>
      <c r="J45" s="45"/>
      <c r="K45" s="73"/>
      <c r="L45" s="73"/>
      <c r="M45" s="45"/>
      <c r="N45" s="73"/>
      <c r="O45" s="73"/>
      <c r="P45" s="45"/>
      <c r="Q45" s="73"/>
      <c r="R45" s="73"/>
      <c r="S45" s="73"/>
      <c r="T45" s="73"/>
      <c r="U45" s="73"/>
      <c r="V45" s="73"/>
    </row>
    <row r="46" spans="2:22" ht="12.75">
      <c r="B46" s="64" t="s">
        <v>196</v>
      </c>
      <c r="C46" s="64" t="s">
        <v>197</v>
      </c>
      <c r="D46" s="64" t="s">
        <v>198</v>
      </c>
      <c r="E46" s="64" t="s">
        <v>199</v>
      </c>
      <c r="F46" s="64" t="s">
        <v>200</v>
      </c>
      <c r="G46" s="64" t="s">
        <v>201</v>
      </c>
      <c r="H46" s="64" t="s">
        <v>202</v>
      </c>
      <c r="I46" s="64" t="s">
        <v>203</v>
      </c>
      <c r="J46" s="69" t="s">
        <v>204</v>
      </c>
      <c r="K46" s="74" t="s">
        <v>205</v>
      </c>
      <c r="L46" s="74" t="s">
        <v>206</v>
      </c>
      <c r="M46" s="69" t="s">
        <v>207</v>
      </c>
      <c r="N46" s="74" t="s">
        <v>208</v>
      </c>
      <c r="O46" s="74" t="s">
        <v>209</v>
      </c>
      <c r="P46" s="69" t="s">
        <v>210</v>
      </c>
      <c r="Q46" s="74" t="s">
        <v>14</v>
      </c>
      <c r="R46" s="74" t="s">
        <v>12</v>
      </c>
      <c r="S46" s="74" t="s">
        <v>211</v>
      </c>
      <c r="T46" s="74" t="s">
        <v>212</v>
      </c>
      <c r="U46" s="74" t="s">
        <v>3</v>
      </c>
      <c r="V46" s="74" t="s">
        <v>213</v>
      </c>
    </row>
    <row r="47" spans="2:22" ht="12.75" outlineLevel="1">
      <c r="B47" s="65">
        <v>20</v>
      </c>
      <c r="C47" s="65">
        <v>2</v>
      </c>
      <c r="D47" s="65" t="s">
        <v>247</v>
      </c>
      <c r="E47" s="65" t="s">
        <v>248</v>
      </c>
      <c r="F47" s="65" t="s">
        <v>249</v>
      </c>
      <c r="G47" s="65"/>
      <c r="H47" s="65" t="s">
        <v>217</v>
      </c>
      <c r="I47" s="65" t="s">
        <v>223</v>
      </c>
      <c r="J47" s="70">
        <v>7.071999999999999</v>
      </c>
      <c r="K47" s="75">
        <v>4.4918</v>
      </c>
      <c r="L47" s="75">
        <v>5.8178</v>
      </c>
      <c r="M47" s="70">
        <v>0.290889</v>
      </c>
      <c r="N47" s="75">
        <v>0</v>
      </c>
      <c r="O47" s="75">
        <v>10</v>
      </c>
      <c r="P47" s="70">
        <v>0.25</v>
      </c>
      <c r="Q47" s="75">
        <f>K47*RV_Original_MaterialMU+L47*RV_Original_LaborMU+N47*RV_Original_MaterialMU2+O47*RV_Original_LaborMU2</f>
        <v>6.19452</v>
      </c>
      <c r="R47" s="75">
        <f>(K47+L47+N47+O47+Q47)*RV_Original_FeeMU</f>
        <v>13.25206</v>
      </c>
      <c r="S47" s="75">
        <f>SUM(K47+L47+N47+O47+Q47+R47)</f>
        <v>39.75618</v>
      </c>
      <c r="T47" s="75">
        <f>IF(Total_SimpleSell=0,0,S47/Total_SimpleSell*Total_GC)</f>
        <v>0</v>
      </c>
      <c r="U47" s="75">
        <f>(K47*(RV_Original_MaterialMU+1)*RV_Original_TaxRateMaterial+L47*(RV_Original_LaborMU+1)*RV_Original_TaxRateLabor+N47*(RV_Original_MaterialMU2+1)*RV_Original_TaxRateMaterial2+O47*(RV_Original_LaborMU2+1)*RV_Original_TaxRateLabor2+R47*RV_Original_TaxRateProfit+T47*TaxRateGC)</f>
        <v>0</v>
      </c>
      <c r="V47" s="75">
        <f>SUM(S47+T47+U47)</f>
        <v>39.75618</v>
      </c>
    </row>
    <row r="48" spans="2:22" ht="12.75" outlineLevel="1">
      <c r="B48" s="65">
        <v>21</v>
      </c>
      <c r="C48" s="65">
        <v>1</v>
      </c>
      <c r="D48" s="65" t="s">
        <v>250</v>
      </c>
      <c r="E48" s="65" t="s">
        <v>251</v>
      </c>
      <c r="F48" s="65" t="s">
        <v>249</v>
      </c>
      <c r="G48" s="65"/>
      <c r="H48" s="65" t="s">
        <v>217</v>
      </c>
      <c r="I48" s="65" t="s">
        <v>223</v>
      </c>
      <c r="J48" s="70">
        <v>125.02166666666665</v>
      </c>
      <c r="K48" s="75">
        <v>93.7301</v>
      </c>
      <c r="L48" s="75">
        <v>67.6703</v>
      </c>
      <c r="M48" s="70">
        <v>3.3835166250000013</v>
      </c>
      <c r="N48" s="75">
        <v>0</v>
      </c>
      <c r="O48" s="75">
        <v>20</v>
      </c>
      <c r="P48" s="70">
        <v>0.5</v>
      </c>
      <c r="Q48" s="75">
        <f>K48*RV_Original_MaterialMU+L48*RV_Original_LaborMU+N48*RV_Original_MaterialMU2+O48*RV_Original_LaborMU2</f>
        <v>37.674099999999996</v>
      </c>
      <c r="R48" s="75">
        <f>(K48+L48+N48+O48+Q48)*RV_Original_FeeMU</f>
        <v>109.53725</v>
      </c>
      <c r="S48" s="75">
        <f>SUM(K48+L48+N48+O48+Q48+R48)</f>
        <v>328.61175000000003</v>
      </c>
      <c r="T48" s="75">
        <f>IF(Total_SimpleSell=0,0,S48/Total_SimpleSell*Total_GC)</f>
        <v>0</v>
      </c>
      <c r="U48" s="75">
        <f>(K48*(RV_Original_MaterialMU+1)*RV_Original_TaxRateMaterial+L48*(RV_Original_LaborMU+1)*RV_Original_TaxRateLabor+N48*(RV_Original_MaterialMU2+1)*RV_Original_TaxRateMaterial2+O48*(RV_Original_LaborMU2+1)*RV_Original_TaxRateLabor2+R48*RV_Original_TaxRateProfit+T48*TaxRateGC)</f>
        <v>0</v>
      </c>
      <c r="V48" s="75">
        <f>SUM(S48+T48+U48)</f>
        <v>328.61175000000003</v>
      </c>
    </row>
    <row r="49" spans="2:22" ht="12.75" outlineLevel="1">
      <c r="B49" s="65">
        <v>22</v>
      </c>
      <c r="C49" s="65">
        <v>1</v>
      </c>
      <c r="D49" s="65" t="s">
        <v>252</v>
      </c>
      <c r="E49" s="65" t="s">
        <v>253</v>
      </c>
      <c r="F49" s="65" t="s">
        <v>249</v>
      </c>
      <c r="G49" s="65"/>
      <c r="H49" s="65" t="s">
        <v>217</v>
      </c>
      <c r="I49" s="65" t="s">
        <v>223</v>
      </c>
      <c r="J49" s="70">
        <v>101.47777777777776</v>
      </c>
      <c r="K49" s="75">
        <v>76.8541</v>
      </c>
      <c r="L49" s="75">
        <v>35.584</v>
      </c>
      <c r="M49" s="70">
        <v>1.7791993333333334</v>
      </c>
      <c r="N49" s="75">
        <v>0</v>
      </c>
      <c r="O49" s="75">
        <v>20</v>
      </c>
      <c r="P49" s="70">
        <v>0.5</v>
      </c>
      <c r="Q49" s="75">
        <f>K49*RV_Original_MaterialMU+L49*RV_Original_LaborMU+N49*RV_Original_MaterialMU2+O49*RV_Original_LaborMU2</f>
        <v>26.36061</v>
      </c>
      <c r="R49" s="75">
        <f>(K49+L49+N49+O49+Q49)*RV_Original_FeeMU</f>
        <v>79.39935500000001</v>
      </c>
      <c r="S49" s="75">
        <f>SUM(K49+L49+N49+O49+Q49+R49)</f>
        <v>238.19806500000004</v>
      </c>
      <c r="T49" s="75">
        <f>IF(Total_SimpleSell=0,0,S49/Total_SimpleSell*Total_GC)</f>
        <v>0</v>
      </c>
      <c r="U49" s="75">
        <f>(K49*(RV_Original_MaterialMU+1)*RV_Original_TaxRateMaterial+L49*(RV_Original_LaborMU+1)*RV_Original_TaxRateLabor+N49*(RV_Original_MaterialMU2+1)*RV_Original_TaxRateMaterial2+O49*(RV_Original_LaborMU2+1)*RV_Original_TaxRateLabor2+R49*RV_Original_TaxRateProfit+T49*TaxRateGC)</f>
        <v>0</v>
      </c>
      <c r="V49" s="75">
        <f>SUM(S49+T49+U49)</f>
        <v>238.19806500000004</v>
      </c>
    </row>
    <row r="50" spans="2:22" ht="12.75" outlineLevel="1">
      <c r="B50" s="65">
        <v>23</v>
      </c>
      <c r="C50" s="65">
        <v>1</v>
      </c>
      <c r="D50" s="65" t="s">
        <v>254</v>
      </c>
      <c r="E50" s="65" t="s">
        <v>255</v>
      </c>
      <c r="F50" s="65" t="s">
        <v>216</v>
      </c>
      <c r="G50" s="65"/>
      <c r="H50" s="65" t="s">
        <v>217</v>
      </c>
      <c r="I50" s="65" t="s">
        <v>223</v>
      </c>
      <c r="J50" s="70">
        <v>51.73694444444445</v>
      </c>
      <c r="K50" s="75">
        <v>50.0562</v>
      </c>
      <c r="L50" s="75">
        <v>38.1079</v>
      </c>
      <c r="M50" s="70">
        <v>1.905395583333333</v>
      </c>
      <c r="N50" s="75">
        <v>0</v>
      </c>
      <c r="O50" s="75">
        <v>39.6667</v>
      </c>
      <c r="P50" s="70">
        <v>0.9916666666666667</v>
      </c>
      <c r="Q50" s="75">
        <f>K50*RV_Original_MaterialMU+L50*RV_Original_LaborMU+N50*RV_Original_MaterialMU2+O50*RV_Original_LaborMU2</f>
        <v>32.30467</v>
      </c>
      <c r="R50" s="75">
        <f>(K50+L50+N50+O50+Q50)*RV_Original_FeeMU</f>
        <v>80.067735</v>
      </c>
      <c r="S50" s="75">
        <f>SUM(K50+L50+N50+O50+Q50+R50)</f>
        <v>240.203205</v>
      </c>
      <c r="T50" s="75">
        <f>IF(Total_SimpleSell=0,0,S50/Total_SimpleSell*Total_GC)</f>
        <v>0</v>
      </c>
      <c r="U50" s="75">
        <f>(K50*(RV_Original_MaterialMU+1)*RV_Original_TaxRateMaterial+L50*(RV_Original_LaborMU+1)*RV_Original_TaxRateLabor+N50*(RV_Original_MaterialMU2+1)*RV_Original_TaxRateMaterial2+O50*(RV_Original_LaborMU2+1)*RV_Original_TaxRateLabor2+R50*RV_Original_TaxRateProfit+T50*TaxRateGC)</f>
        <v>0</v>
      </c>
      <c r="V50" s="75">
        <f>SUM(S50+T50+U50)</f>
        <v>240.203205</v>
      </c>
    </row>
    <row r="51" spans="2:22" ht="12.75" outlineLevel="1">
      <c r="B51" s="65">
        <v>24</v>
      </c>
      <c r="C51" s="65">
        <v>2</v>
      </c>
      <c r="D51" s="65" t="s">
        <v>256</v>
      </c>
      <c r="E51" s="65" t="s">
        <v>257</v>
      </c>
      <c r="F51" s="65" t="s">
        <v>249</v>
      </c>
      <c r="G51" s="65"/>
      <c r="H51" s="65" t="s">
        <v>217</v>
      </c>
      <c r="I51" s="65" t="s">
        <v>223</v>
      </c>
      <c r="J51" s="70">
        <v>5.171999999999999</v>
      </c>
      <c r="K51" s="75">
        <v>3.8071</v>
      </c>
      <c r="L51" s="75">
        <v>10.9505</v>
      </c>
      <c r="M51" s="70">
        <v>0.5475260000000001</v>
      </c>
      <c r="N51" s="75">
        <v>0</v>
      </c>
      <c r="O51" s="75">
        <v>10</v>
      </c>
      <c r="P51" s="70">
        <v>0.25</v>
      </c>
      <c r="Q51" s="75">
        <f>K51*RV_Original_MaterialMU+L51*RV_Original_LaborMU+N51*RV_Original_MaterialMU2+O51*RV_Original_LaborMU2</f>
        <v>7.66586</v>
      </c>
      <c r="R51" s="75">
        <f>(K51+L51+N51+O51+Q51)*RV_Original_FeeMU</f>
        <v>16.21173</v>
      </c>
      <c r="S51" s="75">
        <f>SUM(K51+L51+N51+O51+Q51+R51)</f>
        <v>48.635189999999994</v>
      </c>
      <c r="T51" s="75">
        <f>IF(Total_SimpleSell=0,0,S51/Total_SimpleSell*Total_GC)</f>
        <v>0</v>
      </c>
      <c r="U51" s="75">
        <f>(K51*(RV_Original_MaterialMU+1)*RV_Original_TaxRateMaterial+L51*(RV_Original_LaborMU+1)*RV_Original_TaxRateLabor+N51*(RV_Original_MaterialMU2+1)*RV_Original_TaxRateMaterial2+O51*(RV_Original_LaborMU2+1)*RV_Original_TaxRateLabor2+R51*RV_Original_TaxRateProfit+T51*TaxRateGC)</f>
        <v>0</v>
      </c>
      <c r="V51" s="75">
        <f>SUM(S51+T51+U51)</f>
        <v>48.635189999999994</v>
      </c>
    </row>
    <row r="52" spans="2:22" ht="12.75" outlineLevel="1">
      <c r="B52" s="65">
        <v>25</v>
      </c>
      <c r="C52" s="65">
        <v>2</v>
      </c>
      <c r="D52" s="65" t="s">
        <v>258</v>
      </c>
      <c r="E52" s="65" t="s">
        <v>259</v>
      </c>
      <c r="F52" s="65" t="s">
        <v>249</v>
      </c>
      <c r="G52" s="65"/>
      <c r="H52" s="65" t="s">
        <v>217</v>
      </c>
      <c r="I52" s="65" t="s">
        <v>223</v>
      </c>
      <c r="J52" s="70">
        <v>151.984</v>
      </c>
      <c r="K52" s="75">
        <v>123.2909</v>
      </c>
      <c r="L52" s="75">
        <v>57.8982</v>
      </c>
      <c r="M52" s="70">
        <v>2.894908</v>
      </c>
      <c r="N52" s="75">
        <v>0</v>
      </c>
      <c r="O52" s="75">
        <v>30</v>
      </c>
      <c r="P52" s="70">
        <v>0.75</v>
      </c>
      <c r="Q52" s="75">
        <f>K52*RV_Original_MaterialMU+L52*RV_Original_LaborMU+N52*RV_Original_MaterialMU2+O52*RV_Original_LaborMU2</f>
        <v>41.69855</v>
      </c>
      <c r="R52" s="75">
        <f>(K52+L52+N52+O52+Q52)*RV_Original_FeeMU</f>
        <v>126.443825</v>
      </c>
      <c r="S52" s="75">
        <f>SUM(K52+L52+N52+O52+Q52+R52)</f>
        <v>379.331475</v>
      </c>
      <c r="T52" s="75">
        <f>IF(Total_SimpleSell=0,0,S52/Total_SimpleSell*Total_GC)</f>
        <v>0</v>
      </c>
      <c r="U52" s="75">
        <f>(K52*(RV_Original_MaterialMU+1)*RV_Original_TaxRateMaterial+L52*(RV_Original_LaborMU+1)*RV_Original_TaxRateLabor+N52*(RV_Original_MaterialMU2+1)*RV_Original_TaxRateMaterial2+O52*(RV_Original_LaborMU2+1)*RV_Original_TaxRateLabor2+R52*RV_Original_TaxRateProfit+T52*TaxRateGC)</f>
        <v>0</v>
      </c>
      <c r="V52" s="75">
        <f>SUM(S52+T52+U52)</f>
        <v>379.331475</v>
      </c>
    </row>
    <row r="53" spans="2:22" ht="12.75">
      <c r="B53" s="66"/>
      <c r="C53" s="66">
        <f>SUBTOTAL(9,C47:C52)</f>
        <v>9</v>
      </c>
      <c r="D53" s="66"/>
      <c r="E53" s="66"/>
      <c r="F53" s="66"/>
      <c r="G53" s="66"/>
      <c r="H53" s="66"/>
      <c r="I53" s="66"/>
      <c r="J53" s="71">
        <f>SUBTOTAL(9,J47:J52)</f>
        <v>442.46438888888895</v>
      </c>
      <c r="K53" s="76">
        <f>SUBTOTAL(9,K47:K52)</f>
        <v>352.23019999999997</v>
      </c>
      <c r="L53" s="76">
        <f>SUBTOTAL(9,L47:L52)</f>
        <v>216.02870000000001</v>
      </c>
      <c r="M53" s="71">
        <f>SUBTOTAL(9,M47:M52)</f>
        <v>10.80143454166667</v>
      </c>
      <c r="N53" s="76">
        <f>SUBTOTAL(9,N47:N52)</f>
        <v>0</v>
      </c>
      <c r="O53" s="76">
        <f>SUBTOTAL(9,O47:O52)</f>
        <v>129.6667</v>
      </c>
      <c r="P53" s="71">
        <f>SUBTOTAL(9,P47:P52)</f>
        <v>3.2416666666666667</v>
      </c>
      <c r="Q53" s="76">
        <f>SUBTOTAL(9,Q47:Q52)</f>
        <v>151.89830999999998</v>
      </c>
      <c r="R53" s="76">
        <f>SUBTOTAL(9,R47:R52)</f>
        <v>424.911955</v>
      </c>
      <c r="S53" s="76">
        <f>SUBTOTAL(9,S47:S52)</f>
        <v>1274.735865</v>
      </c>
      <c r="T53" s="76">
        <f>SUBTOTAL(9,T47:T52)</f>
        <v>0</v>
      </c>
      <c r="U53" s="76">
        <f>SUBTOTAL(9,U47:U52)</f>
        <v>0</v>
      </c>
      <c r="V53" s="76">
        <f>SUBTOTAL(9,V47:V52)</f>
        <v>1274.735865</v>
      </c>
    </row>
    <row r="54" spans="10:22" ht="12.75">
      <c r="J54" s="45"/>
      <c r="K54" s="73"/>
      <c r="L54" s="73"/>
      <c r="M54" s="45"/>
      <c r="N54" s="73"/>
      <c r="O54" s="73"/>
      <c r="P54" s="45"/>
      <c r="Q54" s="73"/>
      <c r="R54" s="73"/>
      <c r="S54" s="73"/>
      <c r="T54" s="73"/>
      <c r="U54" s="73"/>
      <c r="V54" s="73"/>
    </row>
    <row r="55" spans="10:22" ht="12.75">
      <c r="J55" s="45"/>
      <c r="K55" s="73"/>
      <c r="L55" s="73"/>
      <c r="M55" s="45"/>
      <c r="N55" s="73"/>
      <c r="O55" s="73"/>
      <c r="P55" s="45"/>
      <c r="Q55" s="73"/>
      <c r="R55" s="73"/>
      <c r="S55" s="73"/>
      <c r="T55" s="73"/>
      <c r="U55" s="73"/>
      <c r="V55" s="73"/>
    </row>
    <row r="56" spans="4:22" ht="12.75">
      <c r="D56" s="67" t="s">
        <v>266</v>
      </c>
      <c r="E56" s="68"/>
      <c r="F56" s="68"/>
      <c r="G56" s="68"/>
      <c r="H56" s="68"/>
      <c r="I56" s="68"/>
      <c r="J56" s="72">
        <f>SUBTOTAL(9,J10:J55)</f>
        <v>3259.6180694444442</v>
      </c>
      <c r="K56" s="77">
        <f>SUBTOTAL(9,K10:K55)</f>
        <v>4329.539599999999</v>
      </c>
      <c r="L56" s="77">
        <f>SUBTOTAL(9,L10:L55)</f>
        <v>1267.7154</v>
      </c>
      <c r="M56" s="72">
        <f>SUBTOTAL(9,M10:M55)</f>
        <v>63.38576167361111</v>
      </c>
      <c r="N56" s="77">
        <f>SUBTOTAL(9,N10:N55)</f>
        <v>1000</v>
      </c>
      <c r="O56" s="77">
        <f>SUBTOTAL(9,O10:O55)</f>
        <v>4170.3334</v>
      </c>
      <c r="P56" s="72">
        <f>SUBTOTAL(9,P10:P55)</f>
        <v>104.25833333333333</v>
      </c>
      <c r="Q56" s="77">
        <f>SUBTOTAL(9,Q10:Q55)</f>
        <v>2681.40194</v>
      </c>
      <c r="R56" s="77">
        <f>SUBTOTAL(9,R10:R55)</f>
        <v>6724.49517</v>
      </c>
      <c r="S56" s="77">
        <f>SUBTOTAL(9,S10:S55)</f>
        <v>20173.485510000002</v>
      </c>
      <c r="T56" s="77">
        <f>SUBTOTAL(9,T10:T55)</f>
        <v>0</v>
      </c>
      <c r="U56" s="77">
        <f>SUBTOTAL(9,U10:U55)</f>
        <v>0</v>
      </c>
      <c r="V56" s="78">
        <f>SUBTOTAL(9,V10:V55)</f>
        <v>20173.485510000002</v>
      </c>
    </row>
    <row r="57" spans="10:22" ht="12.75">
      <c r="J57" s="45"/>
      <c r="K57" s="73"/>
      <c r="L57" s="73"/>
      <c r="M57" s="45"/>
      <c r="N57" s="73"/>
      <c r="O57" s="73"/>
      <c r="P57" s="45"/>
      <c r="Q57" s="73"/>
      <c r="R57" s="73"/>
      <c r="S57" s="73"/>
      <c r="T57" s="73"/>
      <c r="U57" s="73"/>
      <c r="V57" s="73"/>
    </row>
    <row r="58" spans="1:22" ht="15.75">
      <c r="A58" s="63" t="s">
        <v>10</v>
      </c>
      <c r="J58" s="45"/>
      <c r="K58" s="73"/>
      <c r="L58" s="73"/>
      <c r="M58" s="45"/>
      <c r="N58" s="73"/>
      <c r="O58" s="73"/>
      <c r="P58" s="45"/>
      <c r="Q58" s="73"/>
      <c r="R58" s="73"/>
      <c r="S58" s="73"/>
      <c r="T58" s="73"/>
      <c r="U58" s="73"/>
      <c r="V58" s="73"/>
    </row>
    <row r="59" spans="4:22" ht="12.75">
      <c r="D59" t="s">
        <v>261</v>
      </c>
      <c r="F59" t="s">
        <v>262</v>
      </c>
      <c r="I59" t="s">
        <v>263</v>
      </c>
      <c r="J59" s="45"/>
      <c r="K59" s="73">
        <v>450</v>
      </c>
      <c r="L59" s="73"/>
      <c r="M59" s="45"/>
      <c r="N59" s="73"/>
      <c r="O59" s="73"/>
      <c r="P59" s="45"/>
      <c r="Q59" s="73">
        <f>K59*RV_Original_SubContractsMU</f>
        <v>270</v>
      </c>
      <c r="R59" s="73"/>
      <c r="S59" s="73">
        <f>K59+Q59</f>
        <v>720</v>
      </c>
      <c r="T59" s="73"/>
      <c r="U59" s="73">
        <f>S59*RV_Original_TaxRateBO</f>
        <v>0</v>
      </c>
      <c r="V59" s="73">
        <f>S59+U59</f>
        <v>720</v>
      </c>
    </row>
    <row r="60" spans="10:22" ht="12.75">
      <c r="J60" s="45"/>
      <c r="K60" s="79">
        <f>SUBTOTAL(9,K58:K59)</f>
        <v>450</v>
      </c>
      <c r="L60" s="79"/>
      <c r="M60" s="80"/>
      <c r="N60" s="79"/>
      <c r="O60" s="79"/>
      <c r="P60" s="80"/>
      <c r="Q60" s="79">
        <f>SUBTOTAL(9,Q58:Q59)</f>
        <v>270</v>
      </c>
      <c r="R60" s="79"/>
      <c r="S60" s="79">
        <f>SUBTOTAL(9,S58:S59)</f>
        <v>720</v>
      </c>
      <c r="T60" s="79"/>
      <c r="U60" s="79">
        <f>SUBTOTAL(9,U58:U59)</f>
        <v>0</v>
      </c>
      <c r="V60" s="79">
        <f>SUBTOTAL(9,V58:V59)</f>
        <v>720</v>
      </c>
    </row>
    <row r="61" spans="10:22" ht="12.75">
      <c r="J61" s="45"/>
      <c r="K61" s="73"/>
      <c r="L61" s="73"/>
      <c r="M61" s="45"/>
      <c r="N61" s="73"/>
      <c r="O61" s="73"/>
      <c r="P61" s="45"/>
      <c r="Q61" s="73"/>
      <c r="R61" s="73"/>
      <c r="S61" s="73"/>
      <c r="T61" s="73"/>
      <c r="U61" s="73"/>
      <c r="V61" s="73"/>
    </row>
    <row r="62" spans="10:22" ht="12.75">
      <c r="J62" s="45"/>
      <c r="K62" s="73"/>
      <c r="L62" s="73"/>
      <c r="M62" s="45"/>
      <c r="N62" s="73"/>
      <c r="O62" s="73"/>
      <c r="P62" s="45"/>
      <c r="Q62" s="73"/>
      <c r="R62" s="73"/>
      <c r="S62" s="73"/>
      <c r="T62" s="73"/>
      <c r="U62" s="73"/>
      <c r="V62" s="73"/>
    </row>
    <row r="63" spans="4:22" ht="12.75">
      <c r="D63" s="67" t="s">
        <v>271</v>
      </c>
      <c r="E63" s="68"/>
      <c r="F63" s="68"/>
      <c r="G63" s="68"/>
      <c r="H63" s="68"/>
      <c r="I63" s="68"/>
      <c r="J63" s="72">
        <f>SUBTOTAL(9,J10:J62)</f>
        <v>3259.6180694444442</v>
      </c>
      <c r="K63" s="77">
        <f>SUBTOTAL(9,K10:K62)</f>
        <v>4779.539599999999</v>
      </c>
      <c r="L63" s="77">
        <f>SUBTOTAL(9,L10:L62)</f>
        <v>1267.7154</v>
      </c>
      <c r="M63" s="72">
        <f>SUBTOTAL(9,M10:M62)</f>
        <v>63.38576167361111</v>
      </c>
      <c r="N63" s="77">
        <f>SUBTOTAL(9,N10:N62)</f>
        <v>1000</v>
      </c>
      <c r="O63" s="77">
        <f>SUBTOTAL(9,O10:O62)</f>
        <v>4170.3334</v>
      </c>
      <c r="P63" s="72">
        <f>SUBTOTAL(9,P10:P62)</f>
        <v>104.25833333333333</v>
      </c>
      <c r="Q63" s="77">
        <f>SUBTOTAL(9,Q10:Q62)</f>
        <v>2951.40194</v>
      </c>
      <c r="R63" s="77">
        <f>SUBTOTAL(9,R10:R62)</f>
        <v>6724.49517</v>
      </c>
      <c r="S63" s="77">
        <f>SUBTOTAL(9,S10:S62)</f>
        <v>20893.485510000002</v>
      </c>
      <c r="T63" s="77">
        <f>SUBTOTAL(9,T10:T62)</f>
        <v>0</v>
      </c>
      <c r="U63" s="77">
        <f>SUBTOTAL(9,U10:U62)</f>
        <v>0</v>
      </c>
      <c r="V63" s="78">
        <f>SUBTOTAL(9,V10:V62)</f>
        <v>20893.485510000002</v>
      </c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3"/>
  <headerFooter alignWithMargins="0">
    <oddHeader>&amp;LStarlight Jewellers&amp;CBreakout - Original Quote&amp;R&amp;P/&amp;N</oddHeader>
    <oddFooter>&amp;LCompany&amp;RWednesday, November 5, 2014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workbookViewId="0" topLeftCell="A1">
      <selection activeCell="A1" sqref="A1"/>
    </sheetView>
  </sheetViews>
  <sheetFormatPr defaultColWidth="9.140625" defaultRowHeight="12.75" outlineLevelRow="2" outlineLevelCol="1"/>
  <cols>
    <col min="1" max="1" width="20.57421875" style="0" bestFit="1" customWidth="1"/>
    <col min="2" max="2" width="16.28125" style="0" bestFit="1" customWidth="1"/>
    <col min="3" max="3" width="21.421875" style="0" bestFit="1" customWidth="1" outlineLevel="1"/>
    <col min="4" max="4" width="5.8515625" style="0" bestFit="1" customWidth="1" outlineLevel="1"/>
    <col min="5" max="5" width="25.7109375" style="0" bestFit="1" customWidth="1" outlineLevel="1"/>
    <col min="6" max="6" width="11.421875" style="0" bestFit="1" customWidth="1"/>
    <col min="7" max="7" width="9.57421875" style="0" bestFit="1" customWidth="1"/>
    <col min="8" max="9" width="11.421875" style="0" bestFit="1" customWidth="1"/>
    <col min="10" max="10" width="10.140625" style="0" bestFit="1" customWidth="1"/>
    <col min="11" max="11" width="11.2812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4" t="s">
        <v>189</v>
      </c>
      <c r="B2" s="55">
        <f>Total_MaterialMU</f>
        <v>0.1</v>
      </c>
      <c r="C2" s="53">
        <f>TaxRateMaterial</f>
        <v>0</v>
      </c>
    </row>
    <row r="3" spans="1:3" ht="12.75">
      <c r="A3" s="54" t="s">
        <v>190</v>
      </c>
      <c r="B3" s="55">
        <f>Total_MaterialMU2</f>
        <v>0.2</v>
      </c>
      <c r="C3" s="53">
        <f>TaxRateMaterial2</f>
        <v>0</v>
      </c>
    </row>
    <row r="4" spans="1:3" ht="12.75">
      <c r="A4" s="56" t="s">
        <v>191</v>
      </c>
      <c r="B4" s="57">
        <f>Total_LaborMU</f>
        <v>0.3</v>
      </c>
      <c r="C4" s="53">
        <f>TaxRateLabor</f>
        <v>0</v>
      </c>
    </row>
    <row r="5" spans="1:3" ht="12.75">
      <c r="A5" s="56" t="s">
        <v>192</v>
      </c>
      <c r="B5" s="57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31" t="s">
        <v>193</v>
      </c>
      <c r="B7" s="58">
        <f>Total_SubContractsMU</f>
        <v>0.6</v>
      </c>
      <c r="C7" s="53">
        <f>TaxRateBO</f>
        <v>0</v>
      </c>
    </row>
    <row r="8" spans="1:10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  <c r="J8" s="61"/>
    </row>
    <row r="10" spans="1:10" ht="15.75">
      <c r="A10" s="63" t="s">
        <v>272</v>
      </c>
      <c r="C10" s="45"/>
      <c r="F10" s="85"/>
      <c r="G10" s="85"/>
      <c r="H10" s="85"/>
      <c r="I10" s="85"/>
      <c r="J10" s="45"/>
    </row>
    <row r="11" spans="1:10" ht="12.75">
      <c r="A11" s="55">
        <f>Mat_MaterialMU</f>
        <v>0.1</v>
      </c>
      <c r="C11" s="45"/>
      <c r="F11" s="85"/>
      <c r="G11" s="85"/>
      <c r="H11" s="85"/>
      <c r="I11" s="85"/>
      <c r="J11" s="45"/>
    </row>
    <row r="12" spans="3:11" ht="12.75" outlineLevel="1">
      <c r="C12" s="69" t="s">
        <v>273</v>
      </c>
      <c r="D12" s="64" t="s">
        <v>274</v>
      </c>
      <c r="E12" s="64" t="s">
        <v>275</v>
      </c>
      <c r="F12" s="86" t="s">
        <v>276</v>
      </c>
      <c r="G12" s="86" t="s">
        <v>14</v>
      </c>
      <c r="H12" s="86" t="s">
        <v>12</v>
      </c>
      <c r="I12" s="86" t="s">
        <v>277</v>
      </c>
      <c r="J12" s="69" t="s">
        <v>204</v>
      </c>
      <c r="K12" s="64" t="s">
        <v>278</v>
      </c>
    </row>
    <row r="13" spans="2:10" ht="12.75" outlineLevel="1">
      <c r="B13" s="31" t="s">
        <v>279</v>
      </c>
      <c r="C13" s="45"/>
      <c r="F13" s="85"/>
      <c r="G13" s="85"/>
      <c r="H13" s="85"/>
      <c r="I13" s="85"/>
      <c r="J13" s="45"/>
    </row>
    <row r="14" spans="3:11" ht="12.75" outlineLevel="2">
      <c r="C14" s="70">
        <v>12</v>
      </c>
      <c r="D14" s="65" t="s">
        <v>280</v>
      </c>
      <c r="E14" s="65" t="s">
        <v>281</v>
      </c>
      <c r="F14" s="87">
        <v>1.44</v>
      </c>
      <c r="G14" s="87">
        <f>F14*Mat_Mfg_EdgingMU</f>
        <v>0.144</v>
      </c>
      <c r="H14" s="87">
        <f>(F14+G14)*Mat_FeeMU</f>
        <v>0.7919999999999999</v>
      </c>
      <c r="I14" s="87">
        <f>SUM(F14:H14)</f>
        <v>2.376</v>
      </c>
      <c r="J14" s="70">
        <v>0</v>
      </c>
      <c r="K14">
        <v>0</v>
      </c>
    </row>
    <row r="15" spans="3:11" ht="12.75" outlineLevel="2">
      <c r="C15" s="70">
        <v>401</v>
      </c>
      <c r="D15" s="65" t="s">
        <v>280</v>
      </c>
      <c r="E15" s="65" t="s">
        <v>282</v>
      </c>
      <c r="F15" s="87">
        <v>48.12</v>
      </c>
      <c r="G15" s="87">
        <f>F15*Mat_Mfg_EdgingMU</f>
        <v>4.812</v>
      </c>
      <c r="H15" s="87">
        <f>(F15+G15)*Mat_FeeMU</f>
        <v>26.465999999999998</v>
      </c>
      <c r="I15" s="87">
        <f>SUM(F15:H15)</f>
        <v>79.398</v>
      </c>
      <c r="J15" s="70">
        <v>0</v>
      </c>
      <c r="K15">
        <v>0</v>
      </c>
    </row>
    <row r="16" spans="3:11" ht="12.75" outlineLevel="2">
      <c r="C16" s="70">
        <v>71</v>
      </c>
      <c r="D16" s="65" t="s">
        <v>280</v>
      </c>
      <c r="E16" s="65" t="s">
        <v>283</v>
      </c>
      <c r="F16" s="87">
        <v>3.55</v>
      </c>
      <c r="G16" s="87">
        <f>F16*Mat_Mfg_EdgingMU</f>
        <v>0.355</v>
      </c>
      <c r="H16" s="87">
        <f>(F16+G16)*Mat_FeeMU</f>
        <v>1.9525</v>
      </c>
      <c r="I16" s="87">
        <f>SUM(F16:H16)</f>
        <v>5.8575</v>
      </c>
      <c r="J16" s="70">
        <v>0</v>
      </c>
      <c r="K16">
        <v>0</v>
      </c>
    </row>
    <row r="17" spans="3:11" ht="12.75" outlineLevel="2">
      <c r="C17" s="70">
        <v>256</v>
      </c>
      <c r="D17" s="65" t="s">
        <v>280</v>
      </c>
      <c r="E17" s="65" t="s">
        <v>284</v>
      </c>
      <c r="F17" s="87">
        <v>107.52</v>
      </c>
      <c r="G17" s="87">
        <f>F17*Mat_Mfg_EdgingMU</f>
        <v>10.752</v>
      </c>
      <c r="H17" s="87">
        <f>(F17+G17)*Mat_FeeMU</f>
        <v>59.135999999999996</v>
      </c>
      <c r="I17" s="87">
        <f>SUM(F17:H17)</f>
        <v>177.408</v>
      </c>
      <c r="J17" s="70">
        <v>25.6</v>
      </c>
      <c r="K17">
        <v>0</v>
      </c>
    </row>
    <row r="18" spans="3:11" ht="12.75" outlineLevel="2">
      <c r="C18" s="70">
        <v>70.33333333333334</v>
      </c>
      <c r="D18" s="65" t="s">
        <v>280</v>
      </c>
      <c r="E18" s="65" t="s">
        <v>285</v>
      </c>
      <c r="F18" s="87">
        <v>23.21</v>
      </c>
      <c r="G18" s="87">
        <f>F18*Mat_Mfg_EdgingMU</f>
        <v>2.321</v>
      </c>
      <c r="H18" s="87">
        <f>(F18+G18)*Mat_FeeMU</f>
        <v>12.765500000000001</v>
      </c>
      <c r="I18" s="87">
        <f>SUM(F18:H18)</f>
        <v>38.2965</v>
      </c>
      <c r="J18" s="70">
        <v>7.033333333333333</v>
      </c>
      <c r="K18">
        <v>0</v>
      </c>
    </row>
    <row r="19" spans="3:10" ht="12.75" outlineLevel="1">
      <c r="C19" s="71">
        <f>SUBTOTAL(9,C14:C18)</f>
        <v>810.3333333333334</v>
      </c>
      <c r="D19" s="66"/>
      <c r="E19" s="66"/>
      <c r="F19" s="88">
        <f>SUBTOTAL(9,F14:F18)</f>
        <v>183.84</v>
      </c>
      <c r="G19" s="88">
        <f>SUBTOTAL(9,G14:G18)</f>
        <v>18.384000000000004</v>
      </c>
      <c r="H19" s="88">
        <f>SUBTOTAL(9,H14:H18)</f>
        <v>101.112</v>
      </c>
      <c r="I19" s="88">
        <f>SUBTOTAL(9,I14:I18)</f>
        <v>303.33599999999996</v>
      </c>
      <c r="J19" s="71">
        <f>SUBTOTAL(9,J14:J18)</f>
        <v>32.63333333333333</v>
      </c>
    </row>
    <row r="20" spans="2:10" ht="12.75" outlineLevel="1">
      <c r="B20" s="31" t="s">
        <v>286</v>
      </c>
      <c r="C20" s="45"/>
      <c r="F20" s="85"/>
      <c r="G20" s="85"/>
      <c r="H20" s="85"/>
      <c r="I20" s="85"/>
      <c r="J20" s="45"/>
    </row>
    <row r="21" spans="3:11" ht="12.75" outlineLevel="2">
      <c r="C21" s="70">
        <v>7</v>
      </c>
      <c r="D21" s="65" t="s">
        <v>280</v>
      </c>
      <c r="E21" s="65" t="s">
        <v>287</v>
      </c>
      <c r="F21" s="87">
        <v>4.2</v>
      </c>
      <c r="G21" s="87">
        <f>F21*Mat_Mfg_EdgingMU</f>
        <v>0.42000000000000004</v>
      </c>
      <c r="H21" s="87">
        <f>(F21+G21)*Mat_FeeMU</f>
        <v>2.31</v>
      </c>
      <c r="I21" s="87">
        <f>SUM(F21:H21)</f>
        <v>6.93</v>
      </c>
      <c r="J21" s="70">
        <v>0.7</v>
      </c>
      <c r="K21">
        <v>0</v>
      </c>
    </row>
    <row r="22" spans="3:10" ht="13.5" outlineLevel="1" thickBot="1">
      <c r="C22" s="71">
        <f>SUBTOTAL(9,C21:C21)</f>
        <v>7</v>
      </c>
      <c r="D22" s="66"/>
      <c r="E22" s="66"/>
      <c r="F22" s="88">
        <f>SUBTOTAL(9,F21:F21)</f>
        <v>4.2</v>
      </c>
      <c r="G22" s="88">
        <f>SUBTOTAL(9,G21:G21)</f>
        <v>0.42000000000000004</v>
      </c>
      <c r="H22" s="88">
        <f>SUBTOTAL(9,H21:H21)</f>
        <v>2.31</v>
      </c>
      <c r="I22" s="88">
        <f>SUBTOTAL(9,I21:I21)</f>
        <v>6.93</v>
      </c>
      <c r="J22" s="71">
        <f>SUBTOTAL(9,J21:J21)</f>
        <v>0.7</v>
      </c>
    </row>
    <row r="23" spans="3:10" ht="13.5" thickTop="1">
      <c r="C23" s="83">
        <f>SUBTOTAL(9,C13:C21)</f>
        <v>817.3333333333334</v>
      </c>
      <c r="D23" s="81"/>
      <c r="E23" s="81" t="s">
        <v>288</v>
      </c>
      <c r="F23" s="89">
        <f>SUBTOTAL(9,F13:F21)</f>
        <v>188.04</v>
      </c>
      <c r="G23" s="89">
        <f>SUBTOTAL(9,G13:G21)</f>
        <v>18.804000000000006</v>
      </c>
      <c r="H23" s="89">
        <f>SUBTOTAL(9,H13:H21)</f>
        <v>103.422</v>
      </c>
      <c r="I23" s="89">
        <f>SUBTOTAL(9,I13:I21)</f>
        <v>310.26599999999996</v>
      </c>
      <c r="J23" s="83">
        <f>SUBTOTAL(9,J13:J21)</f>
        <v>33.333333333333336</v>
      </c>
    </row>
    <row r="24" spans="3:10" ht="12.75">
      <c r="C24" s="45"/>
      <c r="F24" s="85"/>
      <c r="G24" s="85"/>
      <c r="H24" s="85"/>
      <c r="I24" s="85"/>
      <c r="J24" s="45"/>
    </row>
    <row r="25" spans="1:10" ht="15.75">
      <c r="A25" s="63" t="s">
        <v>289</v>
      </c>
      <c r="C25" s="45"/>
      <c r="F25" s="85"/>
      <c r="G25" s="85"/>
      <c r="H25" s="85"/>
      <c r="I25" s="85"/>
      <c r="J25" s="45"/>
    </row>
    <row r="26" spans="1:10" ht="12.75">
      <c r="A26" s="55">
        <f>Mat_MaterialMU</f>
        <v>0.1</v>
      </c>
      <c r="C26" s="45"/>
      <c r="F26" s="85"/>
      <c r="G26" s="85"/>
      <c r="H26" s="85"/>
      <c r="I26" s="85"/>
      <c r="J26" s="45"/>
    </row>
    <row r="27" spans="3:11" ht="12.75" outlineLevel="1">
      <c r="C27" s="69" t="s">
        <v>273</v>
      </c>
      <c r="D27" s="64" t="s">
        <v>274</v>
      </c>
      <c r="E27" s="64" t="s">
        <v>275</v>
      </c>
      <c r="F27" s="86" t="s">
        <v>276</v>
      </c>
      <c r="G27" s="86" t="s">
        <v>14</v>
      </c>
      <c r="H27" s="86" t="s">
        <v>12</v>
      </c>
      <c r="I27" s="86" t="s">
        <v>277</v>
      </c>
      <c r="J27" s="69" t="s">
        <v>204</v>
      </c>
      <c r="K27" s="64" t="s">
        <v>278</v>
      </c>
    </row>
    <row r="28" spans="2:10" ht="12.75" outlineLevel="1">
      <c r="B28" s="31" t="s">
        <v>290</v>
      </c>
      <c r="C28" s="45"/>
      <c r="F28" s="85"/>
      <c r="G28" s="85"/>
      <c r="H28" s="85"/>
      <c r="I28" s="85"/>
      <c r="J28" s="45"/>
    </row>
    <row r="29" spans="3:11" ht="12.75" outlineLevel="2">
      <c r="C29" s="70">
        <v>448</v>
      </c>
      <c r="D29" s="65" t="s">
        <v>291</v>
      </c>
      <c r="E29" s="65" t="s">
        <v>292</v>
      </c>
      <c r="F29" s="87">
        <v>4.48</v>
      </c>
      <c r="G29" s="87">
        <f>F29*Mat_Mfg_HardwareMU</f>
        <v>0.44800000000000006</v>
      </c>
      <c r="H29" s="87">
        <f>(F29+G29)*Mat_FeeMU</f>
        <v>2.4640000000000004</v>
      </c>
      <c r="I29" s="87">
        <f>SUM(F29:H29)</f>
        <v>7.392000000000001</v>
      </c>
      <c r="J29" s="70">
        <v>0</v>
      </c>
      <c r="K29">
        <v>0</v>
      </c>
    </row>
    <row r="30" spans="3:10" ht="12.75" outlineLevel="1">
      <c r="C30" s="71">
        <f>SUBTOTAL(9,C29:C29)</f>
        <v>448</v>
      </c>
      <c r="D30" s="66"/>
      <c r="E30" s="66"/>
      <c r="F30" s="88">
        <f>SUBTOTAL(9,F29:F29)</f>
        <v>4.48</v>
      </c>
      <c r="G30" s="88">
        <f>SUBTOTAL(9,G29:G29)</f>
        <v>0.44800000000000006</v>
      </c>
      <c r="H30" s="88">
        <f>SUBTOTAL(9,H29:H29)</f>
        <v>2.4640000000000004</v>
      </c>
      <c r="I30" s="88">
        <f>SUBTOTAL(9,I29:I29)</f>
        <v>7.392000000000001</v>
      </c>
      <c r="J30" s="71">
        <f>SUBTOTAL(9,J29:J29)</f>
        <v>0</v>
      </c>
    </row>
    <row r="31" spans="2:10" ht="12.75" outlineLevel="1">
      <c r="B31" s="31" t="s">
        <v>293</v>
      </c>
      <c r="C31" s="45"/>
      <c r="F31" s="85"/>
      <c r="G31" s="85"/>
      <c r="H31" s="85"/>
      <c r="I31" s="85"/>
      <c r="J31" s="45"/>
    </row>
    <row r="32" spans="3:11" ht="12.75" outlineLevel="2">
      <c r="C32" s="70">
        <v>16</v>
      </c>
      <c r="D32" s="65" t="s">
        <v>291</v>
      </c>
      <c r="E32" s="65" t="s">
        <v>294</v>
      </c>
      <c r="F32" s="87">
        <v>36</v>
      </c>
      <c r="G32" s="87">
        <f>F32*Mat_Mfg_HardwareMU</f>
        <v>3.6</v>
      </c>
      <c r="H32" s="87">
        <f>(F32+G32)*Mat_FeeMU</f>
        <v>19.8</v>
      </c>
      <c r="I32" s="87">
        <f>SUM(F32:H32)</f>
        <v>59.400000000000006</v>
      </c>
      <c r="J32" s="70">
        <v>14.4</v>
      </c>
      <c r="K32">
        <v>0</v>
      </c>
    </row>
    <row r="33" spans="3:11" ht="12.75" outlineLevel="2">
      <c r="C33" s="70">
        <v>16</v>
      </c>
      <c r="D33" s="65" t="s">
        <v>291</v>
      </c>
      <c r="E33" s="65" t="s">
        <v>295</v>
      </c>
      <c r="F33" s="87">
        <v>9.6</v>
      </c>
      <c r="G33" s="87">
        <f>F33*Mat_Mfg_HardwareMU</f>
        <v>0.96</v>
      </c>
      <c r="H33" s="87">
        <f>(F33+G33)*Mat_FeeMU</f>
        <v>5.279999999999999</v>
      </c>
      <c r="I33" s="87">
        <f>SUM(F33:H33)</f>
        <v>15.839999999999998</v>
      </c>
      <c r="J33" s="70">
        <v>3.2</v>
      </c>
      <c r="K33">
        <v>0</v>
      </c>
    </row>
    <row r="34" spans="3:10" ht="12.75" outlineLevel="1">
      <c r="C34" s="71">
        <f>SUBTOTAL(9,C32:C33)</f>
        <v>32</v>
      </c>
      <c r="D34" s="66"/>
      <c r="E34" s="66"/>
      <c r="F34" s="88">
        <f>SUBTOTAL(9,F32:F33)</f>
        <v>45.6</v>
      </c>
      <c r="G34" s="88">
        <f>SUBTOTAL(9,G32:G33)</f>
        <v>4.5600000000000005</v>
      </c>
      <c r="H34" s="88">
        <f>SUBTOTAL(9,H32:H33)</f>
        <v>25.08</v>
      </c>
      <c r="I34" s="88">
        <f>SUBTOTAL(9,I32:I33)</f>
        <v>75.24000000000001</v>
      </c>
      <c r="J34" s="71">
        <f>SUBTOTAL(9,J32:J33)</f>
        <v>17.6</v>
      </c>
    </row>
    <row r="35" spans="2:10" ht="12.75" outlineLevel="1">
      <c r="B35" s="31" t="s">
        <v>296</v>
      </c>
      <c r="C35" s="45"/>
      <c r="F35" s="85"/>
      <c r="G35" s="85"/>
      <c r="H35" s="85"/>
      <c r="I35" s="85"/>
      <c r="J35" s="45"/>
    </row>
    <row r="36" spans="3:11" ht="12.75" outlineLevel="2">
      <c r="C36" s="70">
        <v>32</v>
      </c>
      <c r="D36" s="65" t="s">
        <v>291</v>
      </c>
      <c r="E36" s="65" t="s">
        <v>297</v>
      </c>
      <c r="F36" s="87">
        <v>800</v>
      </c>
      <c r="G36" s="87">
        <f>F36*Mat_Mfg_HardwareMU</f>
        <v>80</v>
      </c>
      <c r="H36" s="87">
        <f>(F36+G36)*Mat_FeeMU</f>
        <v>440</v>
      </c>
      <c r="I36" s="87">
        <f>SUM(F36:H36)</f>
        <v>1320</v>
      </c>
      <c r="J36" s="70">
        <v>35.2</v>
      </c>
      <c r="K36">
        <v>0</v>
      </c>
    </row>
    <row r="37" spans="3:10" ht="12.75" outlineLevel="1">
      <c r="C37" s="71">
        <f>SUBTOTAL(9,C36:C36)</f>
        <v>32</v>
      </c>
      <c r="D37" s="66"/>
      <c r="E37" s="66"/>
      <c r="F37" s="88">
        <f>SUBTOTAL(9,F36:F36)</f>
        <v>800</v>
      </c>
      <c r="G37" s="88">
        <f>SUBTOTAL(9,G36:G36)</f>
        <v>80</v>
      </c>
      <c r="H37" s="88">
        <f>SUBTOTAL(9,H36:H36)</f>
        <v>440</v>
      </c>
      <c r="I37" s="88">
        <f>SUBTOTAL(9,I36:I36)</f>
        <v>1320</v>
      </c>
      <c r="J37" s="71">
        <f>SUBTOTAL(9,J36:J36)</f>
        <v>35.2</v>
      </c>
    </row>
    <row r="38" spans="2:10" ht="12.75" outlineLevel="1">
      <c r="B38" s="31" t="s">
        <v>298</v>
      </c>
      <c r="C38" s="45"/>
      <c r="F38" s="85"/>
      <c r="G38" s="85"/>
      <c r="H38" s="85"/>
      <c r="I38" s="85"/>
      <c r="J38" s="45"/>
    </row>
    <row r="39" spans="3:11" ht="12.75" outlineLevel="2">
      <c r="C39" s="70">
        <v>2</v>
      </c>
      <c r="D39" s="65" t="s">
        <v>291</v>
      </c>
      <c r="E39" s="65" t="s">
        <v>299</v>
      </c>
      <c r="F39" s="87">
        <v>5</v>
      </c>
      <c r="G39" s="87">
        <f>F39*Mat_Mfg_HardwareMU</f>
        <v>0.5</v>
      </c>
      <c r="H39" s="87">
        <f>(F39+G39)*Mat_FeeMU</f>
        <v>2.75</v>
      </c>
      <c r="I39" s="87">
        <f>SUM(F39:H39)</f>
        <v>8.25</v>
      </c>
      <c r="J39" s="70">
        <v>0</v>
      </c>
      <c r="K39">
        <v>0</v>
      </c>
    </row>
    <row r="40" spans="3:10" ht="12.75" outlineLevel="1">
      <c r="C40" s="71">
        <f>SUBTOTAL(9,C39:C39)</f>
        <v>2</v>
      </c>
      <c r="D40" s="66"/>
      <c r="E40" s="66"/>
      <c r="F40" s="88">
        <f>SUBTOTAL(9,F39:F39)</f>
        <v>5</v>
      </c>
      <c r="G40" s="88">
        <f>SUBTOTAL(9,G39:G39)</f>
        <v>0.5</v>
      </c>
      <c r="H40" s="88">
        <f>SUBTOTAL(9,H39:H39)</f>
        <v>2.75</v>
      </c>
      <c r="I40" s="88">
        <f>SUBTOTAL(9,I39:I39)</f>
        <v>8.25</v>
      </c>
      <c r="J40" s="71">
        <f>SUBTOTAL(9,J39:J39)</f>
        <v>0</v>
      </c>
    </row>
    <row r="41" spans="2:10" ht="12.75" outlineLevel="1">
      <c r="B41" s="31" t="s">
        <v>300</v>
      </c>
      <c r="C41" s="45"/>
      <c r="F41" s="85"/>
      <c r="G41" s="85"/>
      <c r="H41" s="85"/>
      <c r="I41" s="85"/>
      <c r="J41" s="45"/>
    </row>
    <row r="42" spans="3:11" ht="12.75" outlineLevel="2">
      <c r="C42" s="70">
        <v>42</v>
      </c>
      <c r="D42" s="65" t="s">
        <v>291</v>
      </c>
      <c r="E42" s="65" t="s">
        <v>301</v>
      </c>
      <c r="F42" s="87">
        <v>25.2</v>
      </c>
      <c r="G42" s="87">
        <f>F42*Mat_Mfg_HardwareMU</f>
        <v>2.52</v>
      </c>
      <c r="H42" s="87">
        <f>(F42+G42)*Mat_FeeMU</f>
        <v>13.86</v>
      </c>
      <c r="I42" s="87">
        <f>SUM(F42:H42)</f>
        <v>41.58</v>
      </c>
      <c r="J42" s="70">
        <v>4.2</v>
      </c>
      <c r="K42">
        <v>0</v>
      </c>
    </row>
    <row r="43" spans="3:10" ht="12.75" outlineLevel="1">
      <c r="C43" s="71">
        <f>SUBTOTAL(9,C42:C42)</f>
        <v>42</v>
      </c>
      <c r="D43" s="66"/>
      <c r="E43" s="66"/>
      <c r="F43" s="88">
        <f>SUBTOTAL(9,F42:F42)</f>
        <v>25.2</v>
      </c>
      <c r="G43" s="88">
        <f>SUBTOTAL(9,G42:G42)</f>
        <v>2.52</v>
      </c>
      <c r="H43" s="88">
        <f>SUBTOTAL(9,H42:H42)</f>
        <v>13.86</v>
      </c>
      <c r="I43" s="88">
        <f>SUBTOTAL(9,I42:I42)</f>
        <v>41.58</v>
      </c>
      <c r="J43" s="71">
        <f>SUBTOTAL(9,J42:J42)</f>
        <v>4.2</v>
      </c>
    </row>
    <row r="44" spans="2:10" ht="12.75" outlineLevel="1">
      <c r="B44" s="31" t="s">
        <v>302</v>
      </c>
      <c r="C44" s="45"/>
      <c r="F44" s="85"/>
      <c r="G44" s="85"/>
      <c r="H44" s="85"/>
      <c r="I44" s="85"/>
      <c r="J44" s="45"/>
    </row>
    <row r="45" spans="3:11" ht="12.75" outlineLevel="2">
      <c r="C45" s="70">
        <v>20</v>
      </c>
      <c r="D45" s="65" t="s">
        <v>291</v>
      </c>
      <c r="E45" s="65" t="s">
        <v>303</v>
      </c>
      <c r="F45" s="87">
        <v>0.6</v>
      </c>
      <c r="G45" s="87">
        <f>F45*Mat_Mfg_HardwareMU</f>
        <v>0.06</v>
      </c>
      <c r="H45" s="87">
        <f>(F45+G45)*Mat_FeeMU</f>
        <v>0.32999999999999996</v>
      </c>
      <c r="I45" s="87">
        <f>SUM(F45:H45)</f>
        <v>0.9899999999999999</v>
      </c>
      <c r="J45" s="70">
        <v>0</v>
      </c>
      <c r="K45">
        <v>0</v>
      </c>
    </row>
    <row r="46" spans="3:10" ht="12.75" outlineLevel="1">
      <c r="C46" s="71">
        <f>SUBTOTAL(9,C45:C45)</f>
        <v>20</v>
      </c>
      <c r="D46" s="66"/>
      <c r="E46" s="66"/>
      <c r="F46" s="88">
        <f>SUBTOTAL(9,F45:F45)</f>
        <v>0.6</v>
      </c>
      <c r="G46" s="88">
        <f>SUBTOTAL(9,G45:G45)</f>
        <v>0.06</v>
      </c>
      <c r="H46" s="88">
        <f>SUBTOTAL(9,H45:H45)</f>
        <v>0.32999999999999996</v>
      </c>
      <c r="I46" s="88">
        <f>SUBTOTAL(9,I45:I45)</f>
        <v>0.9899999999999999</v>
      </c>
      <c r="J46" s="71">
        <f>SUBTOTAL(9,J45:J45)</f>
        <v>0</v>
      </c>
    </row>
    <row r="47" spans="2:10" ht="12.75" outlineLevel="1">
      <c r="B47" s="31" t="s">
        <v>304</v>
      </c>
      <c r="C47" s="45"/>
      <c r="F47" s="85"/>
      <c r="G47" s="85"/>
      <c r="H47" s="85"/>
      <c r="I47" s="85"/>
      <c r="J47" s="45"/>
    </row>
    <row r="48" spans="3:11" ht="12.75" outlineLevel="2">
      <c r="C48" s="70">
        <v>4</v>
      </c>
      <c r="D48" s="65" t="s">
        <v>291</v>
      </c>
      <c r="E48" s="65" t="s">
        <v>305</v>
      </c>
      <c r="F48" s="87">
        <v>32</v>
      </c>
      <c r="G48" s="87">
        <f>F48*Mat_Mfg_HardwareMU</f>
        <v>3.2</v>
      </c>
      <c r="H48" s="87">
        <f>(F48+G48)*Mat_FeeMU</f>
        <v>17.6</v>
      </c>
      <c r="I48" s="87">
        <f>SUM(F48:H48)</f>
        <v>52.800000000000004</v>
      </c>
      <c r="J48" s="70">
        <v>8</v>
      </c>
      <c r="K48">
        <v>0</v>
      </c>
    </row>
    <row r="49" spans="3:11" ht="12.75" outlineLevel="2">
      <c r="C49" s="70">
        <v>34</v>
      </c>
      <c r="D49" s="65" t="s">
        <v>306</v>
      </c>
      <c r="E49" s="65" t="s">
        <v>307</v>
      </c>
      <c r="F49" s="87">
        <v>102</v>
      </c>
      <c r="G49" s="87">
        <f>F49*Mat_Mfg_HardwareMU</f>
        <v>10.200000000000001</v>
      </c>
      <c r="H49" s="87">
        <f>(F49+G49)*Mat_FeeMU</f>
        <v>56.1</v>
      </c>
      <c r="I49" s="87">
        <f>SUM(F49:H49)</f>
        <v>168.3</v>
      </c>
      <c r="J49" s="70">
        <v>85</v>
      </c>
      <c r="K49">
        <v>0</v>
      </c>
    </row>
    <row r="50" spans="3:10" ht="13.5" outlineLevel="1" thickBot="1">
      <c r="C50" s="71">
        <f>SUBTOTAL(9,C48:C49)</f>
        <v>38</v>
      </c>
      <c r="D50" s="66"/>
      <c r="E50" s="66"/>
      <c r="F50" s="88">
        <f>SUBTOTAL(9,F48:F49)</f>
        <v>134</v>
      </c>
      <c r="G50" s="88">
        <f>SUBTOTAL(9,G48:G49)</f>
        <v>13.400000000000002</v>
      </c>
      <c r="H50" s="88">
        <f>SUBTOTAL(9,H48:H49)</f>
        <v>73.7</v>
      </c>
      <c r="I50" s="88">
        <f>SUBTOTAL(9,I48:I49)</f>
        <v>221.10000000000002</v>
      </c>
      <c r="J50" s="71">
        <f>SUBTOTAL(9,J48:J49)</f>
        <v>93</v>
      </c>
    </row>
    <row r="51" spans="3:10" ht="13.5" thickTop="1">
      <c r="C51" s="83">
        <f>SUBTOTAL(9,C28:C49)</f>
        <v>614</v>
      </c>
      <c r="D51" s="81"/>
      <c r="E51" s="81" t="s">
        <v>308</v>
      </c>
      <c r="F51" s="89">
        <f>SUBTOTAL(9,F28:F49)</f>
        <v>1014.8800000000001</v>
      </c>
      <c r="G51" s="89">
        <f>SUBTOTAL(9,G28:G49)</f>
        <v>101.488</v>
      </c>
      <c r="H51" s="89">
        <f>SUBTOTAL(9,H28:H49)</f>
        <v>558.184</v>
      </c>
      <c r="I51" s="89">
        <f>SUBTOTAL(9,I28:I49)</f>
        <v>1674.552</v>
      </c>
      <c r="J51" s="83">
        <f>SUBTOTAL(9,J28:J49)</f>
        <v>150</v>
      </c>
    </row>
    <row r="52" spans="3:10" ht="12.75">
      <c r="C52" s="45"/>
      <c r="F52" s="85"/>
      <c r="G52" s="85"/>
      <c r="H52" s="85"/>
      <c r="I52" s="85"/>
      <c r="J52" s="45"/>
    </row>
    <row r="53" spans="1:10" ht="15.75">
      <c r="A53" s="63" t="s">
        <v>309</v>
      </c>
      <c r="C53" s="45"/>
      <c r="F53" s="85"/>
      <c r="G53" s="85"/>
      <c r="H53" s="85"/>
      <c r="I53" s="85"/>
      <c r="J53" s="45"/>
    </row>
    <row r="54" spans="1:10" ht="12.75">
      <c r="A54" s="55">
        <f>Mat_MaterialMU</f>
        <v>0.1</v>
      </c>
      <c r="C54" s="45"/>
      <c r="F54" s="85"/>
      <c r="G54" s="85"/>
      <c r="H54" s="85"/>
      <c r="I54" s="85"/>
      <c r="J54" s="45"/>
    </row>
    <row r="55" spans="3:11" ht="12.75" outlineLevel="1">
      <c r="C55" s="69" t="s">
        <v>273</v>
      </c>
      <c r="D55" s="64" t="s">
        <v>274</v>
      </c>
      <c r="E55" s="64" t="s">
        <v>275</v>
      </c>
      <c r="F55" s="86" t="s">
        <v>276</v>
      </c>
      <c r="G55" s="86" t="s">
        <v>14</v>
      </c>
      <c r="H55" s="86" t="s">
        <v>12</v>
      </c>
      <c r="I55" s="86" t="s">
        <v>277</v>
      </c>
      <c r="J55" s="69" t="s">
        <v>204</v>
      </c>
      <c r="K55" s="64" t="s">
        <v>278</v>
      </c>
    </row>
    <row r="56" spans="2:10" ht="12.75" outlineLevel="1">
      <c r="B56" s="31" t="s">
        <v>310</v>
      </c>
      <c r="C56" s="45"/>
      <c r="F56" s="85"/>
      <c r="G56" s="85"/>
      <c r="H56" s="85"/>
      <c r="I56" s="85"/>
      <c r="J56" s="45"/>
    </row>
    <row r="57" spans="3:11" ht="12.75" outlineLevel="2">
      <c r="C57" s="70">
        <v>39</v>
      </c>
      <c r="D57" s="65" t="s">
        <v>280</v>
      </c>
      <c r="E57" s="65" t="s">
        <v>311</v>
      </c>
      <c r="F57" s="87">
        <v>126.75</v>
      </c>
      <c r="G57" s="87">
        <f>F57*Mat_Mfg_LumberMU</f>
        <v>12.675</v>
      </c>
      <c r="H57" s="87">
        <f>(F57+G57)*Mat_FeeMU</f>
        <v>69.7125</v>
      </c>
      <c r="I57" s="87">
        <f>SUM(F57:H57)</f>
        <v>209.13750000000002</v>
      </c>
      <c r="J57" s="70">
        <v>136.5</v>
      </c>
      <c r="K57">
        <v>0</v>
      </c>
    </row>
    <row r="58" spans="3:10" ht="13.5" outlineLevel="1" thickBot="1">
      <c r="C58" s="71">
        <f>SUBTOTAL(9,C57:C57)</f>
        <v>39</v>
      </c>
      <c r="D58" s="66"/>
      <c r="E58" s="66"/>
      <c r="F58" s="88">
        <f>SUBTOTAL(9,F57:F57)</f>
        <v>126.75</v>
      </c>
      <c r="G58" s="88">
        <f>SUBTOTAL(9,G57:G57)</f>
        <v>12.675</v>
      </c>
      <c r="H58" s="88">
        <f>SUBTOTAL(9,H57:H57)</f>
        <v>69.7125</v>
      </c>
      <c r="I58" s="88">
        <f>SUBTOTAL(9,I57:I57)</f>
        <v>209.13750000000002</v>
      </c>
      <c r="J58" s="71">
        <f>SUBTOTAL(9,J57:J57)</f>
        <v>136.5</v>
      </c>
    </row>
    <row r="59" spans="3:10" ht="13.5" thickTop="1">
      <c r="C59" s="83">
        <f>SUBTOTAL(9,C56:C57)</f>
        <v>39</v>
      </c>
      <c r="D59" s="81"/>
      <c r="E59" s="81" t="s">
        <v>312</v>
      </c>
      <c r="F59" s="89">
        <f>SUBTOTAL(9,F56:F57)</f>
        <v>126.75</v>
      </c>
      <c r="G59" s="89">
        <f>SUBTOTAL(9,G56:G57)</f>
        <v>12.675</v>
      </c>
      <c r="H59" s="89">
        <f>SUBTOTAL(9,H56:H57)</f>
        <v>69.7125</v>
      </c>
      <c r="I59" s="89">
        <f>SUBTOTAL(9,I56:I57)</f>
        <v>209.13750000000002</v>
      </c>
      <c r="J59" s="83">
        <f>SUBTOTAL(9,J56:J57)</f>
        <v>136.5</v>
      </c>
    </row>
    <row r="60" spans="3:10" ht="12.75">
      <c r="C60" s="45"/>
      <c r="F60" s="85"/>
      <c r="G60" s="85"/>
      <c r="H60" s="85"/>
      <c r="I60" s="85"/>
      <c r="J60" s="45"/>
    </row>
    <row r="61" spans="1:10" ht="15.75">
      <c r="A61" s="63" t="s">
        <v>313</v>
      </c>
      <c r="C61" s="45"/>
      <c r="F61" s="85"/>
      <c r="G61" s="85"/>
      <c r="H61" s="85"/>
      <c r="I61" s="85"/>
      <c r="J61" s="45"/>
    </row>
    <row r="62" spans="1:10" ht="12.75">
      <c r="A62" s="55">
        <f>Mat_MaterialMU</f>
        <v>0.1</v>
      </c>
      <c r="C62" s="45"/>
      <c r="F62" s="85"/>
      <c r="G62" s="85"/>
      <c r="H62" s="85"/>
      <c r="I62" s="85"/>
      <c r="J62" s="45"/>
    </row>
    <row r="63" spans="3:11" ht="12.75" outlineLevel="1">
      <c r="C63" s="69" t="s">
        <v>273</v>
      </c>
      <c r="D63" s="64" t="s">
        <v>274</v>
      </c>
      <c r="E63" s="64" t="s">
        <v>275</v>
      </c>
      <c r="F63" s="86" t="s">
        <v>276</v>
      </c>
      <c r="G63" s="86" t="s">
        <v>14</v>
      </c>
      <c r="H63" s="86" t="s">
        <v>12</v>
      </c>
      <c r="I63" s="86" t="s">
        <v>277</v>
      </c>
      <c r="J63" s="69" t="s">
        <v>204</v>
      </c>
      <c r="K63" s="64" t="s">
        <v>278</v>
      </c>
    </row>
    <row r="64" spans="2:10" ht="12.75" outlineLevel="1">
      <c r="B64" s="31" t="s">
        <v>314</v>
      </c>
      <c r="C64" s="45"/>
      <c r="F64" s="85"/>
      <c r="G64" s="85"/>
      <c r="H64" s="85"/>
      <c r="I64" s="85"/>
      <c r="J64" s="45"/>
    </row>
    <row r="65" spans="3:11" ht="12.75" outlineLevel="2">
      <c r="C65" s="70">
        <v>39</v>
      </c>
      <c r="D65" s="65" t="s">
        <v>280</v>
      </c>
      <c r="E65" s="65" t="s">
        <v>315</v>
      </c>
      <c r="F65" s="87">
        <v>29.25</v>
      </c>
      <c r="G65" s="87">
        <f>F65*Mat_Mfg_MouldingsMU</f>
        <v>2.9250000000000003</v>
      </c>
      <c r="H65" s="87">
        <f>(F65+G65)*Mat_FeeMU</f>
        <v>16.0875</v>
      </c>
      <c r="I65" s="87">
        <f>SUM(F65:H65)</f>
        <v>48.262499999999996</v>
      </c>
      <c r="J65" s="70">
        <v>7.8</v>
      </c>
      <c r="K65">
        <v>0</v>
      </c>
    </row>
    <row r="66" spans="3:10" ht="12.75" outlineLevel="1">
      <c r="C66" s="71">
        <f>SUBTOTAL(9,C65:C65)</f>
        <v>39</v>
      </c>
      <c r="D66" s="66"/>
      <c r="E66" s="66"/>
      <c r="F66" s="88">
        <f>SUBTOTAL(9,F65:F65)</f>
        <v>29.25</v>
      </c>
      <c r="G66" s="88">
        <f>SUBTOTAL(9,G65:G65)</f>
        <v>2.9250000000000003</v>
      </c>
      <c r="H66" s="88">
        <f>SUBTOTAL(9,H65:H65)</f>
        <v>16.0875</v>
      </c>
      <c r="I66" s="88">
        <f>SUBTOTAL(9,I65:I65)</f>
        <v>48.262499999999996</v>
      </c>
      <c r="J66" s="71">
        <f>SUBTOTAL(9,J65:J65)</f>
        <v>7.8</v>
      </c>
    </row>
    <row r="67" spans="2:10" ht="12.75" outlineLevel="1">
      <c r="B67" s="31" t="s">
        <v>214</v>
      </c>
      <c r="C67" s="45"/>
      <c r="F67" s="85"/>
      <c r="G67" s="85"/>
      <c r="H67" s="85"/>
      <c r="I67" s="85"/>
      <c r="J67" s="45"/>
    </row>
    <row r="68" spans="3:11" ht="12.75" outlineLevel="2">
      <c r="C68" s="70">
        <v>900</v>
      </c>
      <c r="D68" s="65" t="s">
        <v>280</v>
      </c>
      <c r="E68" s="65" t="s">
        <v>316</v>
      </c>
      <c r="F68" s="87">
        <v>1350</v>
      </c>
      <c r="G68" s="87">
        <f>F68*Mat_Mfg_MouldingsMU</f>
        <v>135</v>
      </c>
      <c r="H68" s="87">
        <f>(F68+G68)*Mat_FeeMU</f>
        <v>742.5</v>
      </c>
      <c r="I68" s="87">
        <f>SUM(F68:H68)</f>
        <v>2227.5</v>
      </c>
      <c r="J68" s="70">
        <v>1080</v>
      </c>
      <c r="K68">
        <v>0</v>
      </c>
    </row>
    <row r="69" spans="3:10" ht="13.5" outlineLevel="1" thickBot="1">
      <c r="C69" s="71">
        <f>SUBTOTAL(9,C68:C68)</f>
        <v>900</v>
      </c>
      <c r="D69" s="66"/>
      <c r="E69" s="66"/>
      <c r="F69" s="88">
        <f>SUBTOTAL(9,F68:F68)</f>
        <v>1350</v>
      </c>
      <c r="G69" s="88">
        <f>SUBTOTAL(9,G68:G68)</f>
        <v>135</v>
      </c>
      <c r="H69" s="88">
        <f>SUBTOTAL(9,H68:H68)</f>
        <v>742.5</v>
      </c>
      <c r="I69" s="88">
        <f>SUBTOTAL(9,I68:I68)</f>
        <v>2227.5</v>
      </c>
      <c r="J69" s="71">
        <f>SUBTOTAL(9,J68:J68)</f>
        <v>1080</v>
      </c>
    </row>
    <row r="70" spans="3:10" ht="13.5" thickTop="1">
      <c r="C70" s="83">
        <f>SUBTOTAL(9,C64:C68)</f>
        <v>939</v>
      </c>
      <c r="D70" s="81"/>
      <c r="E70" s="81" t="s">
        <v>317</v>
      </c>
      <c r="F70" s="89">
        <f>SUBTOTAL(9,F64:F68)</f>
        <v>1379.25</v>
      </c>
      <c r="G70" s="89">
        <f>SUBTOTAL(9,G64:G68)</f>
        <v>137.925</v>
      </c>
      <c r="H70" s="89">
        <f>SUBTOTAL(9,H64:H68)</f>
        <v>758.5875</v>
      </c>
      <c r="I70" s="89">
        <f>SUBTOTAL(9,I64:I68)</f>
        <v>2275.7625</v>
      </c>
      <c r="J70" s="83">
        <f>SUBTOTAL(9,J64:J68)</f>
        <v>1087.8</v>
      </c>
    </row>
    <row r="71" spans="3:10" ht="12.75">
      <c r="C71" s="45"/>
      <c r="F71" s="85"/>
      <c r="G71" s="85"/>
      <c r="H71" s="85"/>
      <c r="I71" s="85"/>
      <c r="J71" s="45"/>
    </row>
    <row r="72" spans="1:10" ht="15.75">
      <c r="A72" s="63" t="s">
        <v>318</v>
      </c>
      <c r="C72" s="45"/>
      <c r="F72" s="85"/>
      <c r="G72" s="85"/>
      <c r="H72" s="85"/>
      <c r="I72" s="85"/>
      <c r="J72" s="45"/>
    </row>
    <row r="73" spans="1:10" ht="12.75">
      <c r="A73" s="55">
        <f>Mat_MaterialMU</f>
        <v>0.1</v>
      </c>
      <c r="C73" s="45"/>
      <c r="F73" s="85"/>
      <c r="G73" s="85"/>
      <c r="H73" s="85"/>
      <c r="I73" s="85"/>
      <c r="J73" s="45"/>
    </row>
    <row r="74" spans="3:11" ht="12.75" outlineLevel="1">
      <c r="C74" s="69" t="s">
        <v>273</v>
      </c>
      <c r="D74" s="64" t="s">
        <v>274</v>
      </c>
      <c r="E74" s="64" t="s">
        <v>275</v>
      </c>
      <c r="F74" s="86" t="s">
        <v>276</v>
      </c>
      <c r="G74" s="86" t="s">
        <v>14</v>
      </c>
      <c r="H74" s="86" t="s">
        <v>12</v>
      </c>
      <c r="I74" s="86" t="s">
        <v>277</v>
      </c>
      <c r="J74" s="69" t="s">
        <v>204</v>
      </c>
      <c r="K74" s="64" t="s">
        <v>278</v>
      </c>
    </row>
    <row r="75" spans="2:10" ht="12.75" outlineLevel="1">
      <c r="B75" s="31" t="s">
        <v>319</v>
      </c>
      <c r="C75" s="45"/>
      <c r="F75" s="85"/>
      <c r="G75" s="85"/>
      <c r="H75" s="85"/>
      <c r="I75" s="85"/>
      <c r="J75" s="45"/>
    </row>
    <row r="76" spans="3:11" ht="12.75" outlineLevel="2">
      <c r="C76" s="70">
        <v>28.583333333333336</v>
      </c>
      <c r="D76" s="65" t="s">
        <v>320</v>
      </c>
      <c r="E76" s="65" t="s">
        <v>321</v>
      </c>
      <c r="F76" s="87">
        <v>82.38725490196079</v>
      </c>
      <c r="G76" s="87">
        <f>F76*Mat_Mfg_Sheet_GoodsMU</f>
        <v>8.23872549019608</v>
      </c>
      <c r="H76" s="87">
        <f>(F76+G76)*Mat_FeeMU</f>
        <v>45.31299019607843</v>
      </c>
      <c r="I76" s="87">
        <f>SUM(F76:H76)</f>
        <v>135.9389705882353</v>
      </c>
      <c r="J76" s="70">
        <v>93.52466666666666</v>
      </c>
      <c r="K76">
        <v>15</v>
      </c>
    </row>
    <row r="77" spans="3:10" ht="12.75" outlineLevel="1">
      <c r="C77" s="71">
        <f>SUBTOTAL(9,C76:C76)</f>
        <v>28.583333333333336</v>
      </c>
      <c r="D77" s="66"/>
      <c r="E77" s="66"/>
      <c r="F77" s="88">
        <f>SUBTOTAL(9,F76:F76)</f>
        <v>82.38725490196079</v>
      </c>
      <c r="G77" s="88">
        <f>SUBTOTAL(9,G76:G76)</f>
        <v>8.23872549019608</v>
      </c>
      <c r="H77" s="88">
        <f>SUBTOTAL(9,H76:H76)</f>
        <v>45.31299019607843</v>
      </c>
      <c r="I77" s="88">
        <f>SUBTOTAL(9,I76:I76)</f>
        <v>135.9389705882353</v>
      </c>
      <c r="J77" s="71">
        <f>SUBTOTAL(9,J76:J76)</f>
        <v>93.52466666666666</v>
      </c>
    </row>
    <row r="78" spans="2:10" ht="12.75" outlineLevel="1">
      <c r="B78" s="31" t="s">
        <v>322</v>
      </c>
      <c r="C78" s="45"/>
      <c r="F78" s="85"/>
      <c r="G78" s="85"/>
      <c r="H78" s="85"/>
      <c r="I78" s="85"/>
      <c r="J78" s="45"/>
    </row>
    <row r="79" spans="3:11" ht="12.75" outlineLevel="2">
      <c r="C79" s="70">
        <v>12</v>
      </c>
      <c r="D79" s="65" t="s">
        <v>320</v>
      </c>
      <c r="E79" s="65" t="s">
        <v>323</v>
      </c>
      <c r="F79" s="87">
        <v>16.235294117647058</v>
      </c>
      <c r="G79" s="87">
        <f>F79*Mat_Mfg_Sheet_GoodsMU</f>
        <v>1.6235294117647059</v>
      </c>
      <c r="H79" s="87">
        <f>(F79+G79)*Mat_FeeMU</f>
        <v>8.929411764705883</v>
      </c>
      <c r="I79" s="87">
        <f>SUM(F79:H79)</f>
        <v>26.788235294117648</v>
      </c>
      <c r="J79" s="70">
        <v>36</v>
      </c>
      <c r="K79">
        <v>15</v>
      </c>
    </row>
    <row r="80" spans="3:11" ht="12.75" outlineLevel="2">
      <c r="C80" s="70">
        <v>36.458333333333336</v>
      </c>
      <c r="D80" s="65" t="s">
        <v>320</v>
      </c>
      <c r="E80" s="65" t="s">
        <v>324</v>
      </c>
      <c r="F80" s="87">
        <v>42.06730769230769</v>
      </c>
      <c r="G80" s="87">
        <f>F80*Mat_Mfg_Sheet_GoodsMU</f>
        <v>4.206730769230769</v>
      </c>
      <c r="H80" s="87">
        <f>(F80+G80)*Mat_FeeMU</f>
        <v>23.13701923076923</v>
      </c>
      <c r="I80" s="87">
        <f>SUM(F80:H80)</f>
        <v>69.4110576923077</v>
      </c>
      <c r="J80" s="70">
        <v>56.875</v>
      </c>
      <c r="K80">
        <v>35</v>
      </c>
    </row>
    <row r="81" spans="3:11" ht="12.75" outlineLevel="2">
      <c r="C81" s="70">
        <v>95.22222222222223</v>
      </c>
      <c r="D81" s="65" t="s">
        <v>320</v>
      </c>
      <c r="E81" s="65" t="s">
        <v>325</v>
      </c>
      <c r="F81" s="87">
        <v>89.62091503267975</v>
      </c>
      <c r="G81" s="87">
        <f>F81*Mat_Mfg_Sheet_GoodsMU</f>
        <v>8.962091503267976</v>
      </c>
      <c r="H81" s="87">
        <f>(F81+G81)*Mat_FeeMU</f>
        <v>49.29150326797386</v>
      </c>
      <c r="I81" s="87">
        <f>SUM(F81:H81)</f>
        <v>147.87450980392157</v>
      </c>
      <c r="J81" s="70">
        <v>219.01111111111112</v>
      </c>
      <c r="K81">
        <v>15</v>
      </c>
    </row>
    <row r="82" spans="3:11" ht="12.75" outlineLevel="2">
      <c r="C82" s="70">
        <v>17</v>
      </c>
      <c r="D82" s="65" t="s">
        <v>320</v>
      </c>
      <c r="E82" s="65" t="s">
        <v>326</v>
      </c>
      <c r="F82" s="87">
        <v>19</v>
      </c>
      <c r="G82" s="87">
        <f>F82*Mat_Mfg_Sheet_GoodsMU</f>
        <v>1.9000000000000001</v>
      </c>
      <c r="H82" s="87">
        <f>(F82+G82)*Mat_FeeMU</f>
        <v>10.45</v>
      </c>
      <c r="I82" s="87">
        <f>SUM(F82:H82)</f>
        <v>31.349999999999998</v>
      </c>
      <c r="J82" s="70">
        <v>39.1</v>
      </c>
      <c r="K82">
        <v>15</v>
      </c>
    </row>
    <row r="83" spans="3:10" ht="12.75" outlineLevel="1">
      <c r="C83" s="71">
        <f>SUBTOTAL(9,C79:C82)</f>
        <v>160.68055555555557</v>
      </c>
      <c r="D83" s="66"/>
      <c r="E83" s="66"/>
      <c r="F83" s="88">
        <f>SUBTOTAL(9,F79:F82)</f>
        <v>166.9235168426345</v>
      </c>
      <c r="G83" s="88">
        <f>SUBTOTAL(9,G79:G82)</f>
        <v>16.69235168426345</v>
      </c>
      <c r="H83" s="88">
        <f>SUBTOTAL(9,H79:H82)</f>
        <v>91.80793426344898</v>
      </c>
      <c r="I83" s="88">
        <f>SUBTOTAL(9,I79:I82)</f>
        <v>275.42380279034694</v>
      </c>
      <c r="J83" s="71">
        <f>SUBTOTAL(9,J79:J82)</f>
        <v>350.98611111111114</v>
      </c>
    </row>
    <row r="84" spans="2:10" ht="12.75" outlineLevel="1">
      <c r="B84" s="31" t="s">
        <v>327</v>
      </c>
      <c r="C84" s="45"/>
      <c r="F84" s="85"/>
      <c r="G84" s="85"/>
      <c r="H84" s="85"/>
      <c r="I84" s="85"/>
      <c r="J84" s="45"/>
    </row>
    <row r="85" spans="3:11" ht="12.75" outlineLevel="2">
      <c r="C85" s="70">
        <v>75.36111111111111</v>
      </c>
      <c r="D85" s="65" t="s">
        <v>320</v>
      </c>
      <c r="E85" s="65" t="s">
        <v>328</v>
      </c>
      <c r="F85" s="87">
        <v>23.55034722222222</v>
      </c>
      <c r="G85" s="87">
        <f>F85*Mat_Mfg_Sheet_GoodsMU</f>
        <v>2.3550347222222223</v>
      </c>
      <c r="H85" s="87">
        <f>(F85+G85)*Mat_FeeMU</f>
        <v>12.952690972222221</v>
      </c>
      <c r="I85" s="87">
        <f>SUM(F85:H85)</f>
        <v>38.858072916666664</v>
      </c>
      <c r="J85" s="70">
        <v>19.59388888888889</v>
      </c>
      <c r="K85">
        <v>20</v>
      </c>
    </row>
    <row r="86" spans="3:11" ht="12.75" outlineLevel="2">
      <c r="C86" s="70">
        <v>128.09027777777777</v>
      </c>
      <c r="D86" s="65" t="s">
        <v>320</v>
      </c>
      <c r="E86" s="65" t="s">
        <v>329</v>
      </c>
      <c r="F86" s="87">
        <v>184.12977430555551</v>
      </c>
      <c r="G86" s="87">
        <f>F86*Mat_Mfg_Sheet_GoodsMU</f>
        <v>18.412977430555554</v>
      </c>
      <c r="H86" s="87">
        <f>(F86+G86)*Mat_FeeMU</f>
        <v>101.27137586805553</v>
      </c>
      <c r="I86" s="87">
        <f>SUM(F86:H86)</f>
        <v>303.8141276041666</v>
      </c>
      <c r="J86" s="70">
        <v>41.24506944444445</v>
      </c>
      <c r="K86">
        <v>20</v>
      </c>
    </row>
    <row r="87" spans="3:11" ht="12.75" outlineLevel="2">
      <c r="C87" s="70">
        <v>35</v>
      </c>
      <c r="D87" s="65" t="s">
        <v>320</v>
      </c>
      <c r="E87" s="65" t="s">
        <v>330</v>
      </c>
      <c r="F87" s="87">
        <v>28.4375</v>
      </c>
      <c r="G87" s="87">
        <f>F87*Mat_Mfg_Sheet_GoodsMU</f>
        <v>2.84375</v>
      </c>
      <c r="H87" s="87">
        <f>(F87+G87)*Mat_FeeMU</f>
        <v>15.640625</v>
      </c>
      <c r="I87" s="87">
        <f>SUM(F87:H87)</f>
        <v>46.921875</v>
      </c>
      <c r="J87" s="70">
        <v>6.51</v>
      </c>
      <c r="K87">
        <v>20</v>
      </c>
    </row>
    <row r="88" spans="3:10" ht="12.75" outlineLevel="1">
      <c r="C88" s="71">
        <f>SUBTOTAL(9,C85:C87)</f>
        <v>238.45138888888889</v>
      </c>
      <c r="D88" s="66"/>
      <c r="E88" s="66"/>
      <c r="F88" s="88">
        <f>SUBTOTAL(9,F85:F87)</f>
        <v>236.11762152777774</v>
      </c>
      <c r="G88" s="88">
        <f>SUBTOTAL(9,G85:G87)</f>
        <v>23.611762152777775</v>
      </c>
      <c r="H88" s="88">
        <f>SUBTOTAL(9,H85:H87)</f>
        <v>129.86469184027774</v>
      </c>
      <c r="I88" s="88">
        <f>SUBTOTAL(9,I85:I87)</f>
        <v>389.59407552083326</v>
      </c>
      <c r="J88" s="71">
        <f>SUBTOTAL(9,J85:J87)</f>
        <v>67.34895833333334</v>
      </c>
    </row>
    <row r="89" spans="2:10" ht="12.75" outlineLevel="1">
      <c r="B89" s="31" t="s">
        <v>331</v>
      </c>
      <c r="C89" s="45"/>
      <c r="F89" s="85"/>
      <c r="G89" s="85"/>
      <c r="H89" s="85"/>
      <c r="I89" s="85"/>
      <c r="J89" s="45"/>
    </row>
    <row r="90" spans="3:11" ht="12.75" outlineLevel="2">
      <c r="C90" s="70">
        <v>169.5</v>
      </c>
      <c r="D90" s="65" t="s">
        <v>320</v>
      </c>
      <c r="E90" s="65" t="s">
        <v>332</v>
      </c>
      <c r="F90" s="87">
        <v>309.0882352941176</v>
      </c>
      <c r="G90" s="87">
        <f>F90*Mat_Mfg_Sheet_GoodsMU</f>
        <v>30.908823529411762</v>
      </c>
      <c r="H90" s="87">
        <f>(F90+G90)*Mat_FeeMU</f>
        <v>169.9985294117647</v>
      </c>
      <c r="I90" s="87">
        <f>SUM(F90:H90)</f>
        <v>509.9955882352941</v>
      </c>
      <c r="J90" s="70">
        <v>203.4</v>
      </c>
      <c r="K90">
        <v>15</v>
      </c>
    </row>
    <row r="91" spans="3:11" ht="12.75" outlineLevel="2">
      <c r="C91" s="70">
        <v>169</v>
      </c>
      <c r="D91" s="65" t="s">
        <v>320</v>
      </c>
      <c r="E91" s="65" t="s">
        <v>333</v>
      </c>
      <c r="F91" s="87">
        <v>278.3529411764706</v>
      </c>
      <c r="G91" s="87">
        <f>F91*Mat_Mfg_Sheet_GoodsMU</f>
        <v>27.835294117647063</v>
      </c>
      <c r="H91" s="87">
        <f>(F91+G91)*Mat_FeeMU</f>
        <v>153.09411764705882</v>
      </c>
      <c r="I91" s="87">
        <f>SUM(F91:H91)</f>
        <v>459.28235294117644</v>
      </c>
      <c r="J91" s="70">
        <v>202.8</v>
      </c>
      <c r="K91">
        <v>15</v>
      </c>
    </row>
    <row r="92" spans="3:11" ht="12.75" outlineLevel="2">
      <c r="C92" s="70">
        <v>219.33333333333337</v>
      </c>
      <c r="D92" s="65" t="s">
        <v>320</v>
      </c>
      <c r="E92" s="65" t="s">
        <v>334</v>
      </c>
      <c r="F92" s="87">
        <v>399.9607843137255</v>
      </c>
      <c r="G92" s="87">
        <f>F92*Mat_Mfg_Sheet_GoodsMU</f>
        <v>39.99607843137255</v>
      </c>
      <c r="H92" s="87">
        <f>(F92+G92)*Mat_FeeMU</f>
        <v>219.97843137254904</v>
      </c>
      <c r="I92" s="87">
        <f>SUM(F92:H92)</f>
        <v>659.9352941176471</v>
      </c>
      <c r="J92" s="70">
        <v>416.73333333333323</v>
      </c>
      <c r="K92">
        <v>15</v>
      </c>
    </row>
    <row r="93" spans="3:11" ht="12.75" outlineLevel="2">
      <c r="C93" s="70">
        <v>85</v>
      </c>
      <c r="D93" s="65" t="s">
        <v>320</v>
      </c>
      <c r="E93" s="65" t="s">
        <v>335</v>
      </c>
      <c r="F93" s="87">
        <v>175</v>
      </c>
      <c r="G93" s="87">
        <f>F93*Mat_Mfg_Sheet_GoodsMU</f>
        <v>17.5</v>
      </c>
      <c r="H93" s="87">
        <f>(F93+G93)*Mat_FeeMU</f>
        <v>96.25</v>
      </c>
      <c r="I93" s="87">
        <f>SUM(F93:H93)</f>
        <v>288.75</v>
      </c>
      <c r="J93" s="70">
        <v>161.5</v>
      </c>
      <c r="K93">
        <v>15</v>
      </c>
    </row>
    <row r="94" spans="3:11" ht="12.75" outlineLevel="2">
      <c r="C94" s="70">
        <v>168.41666666666666</v>
      </c>
      <c r="D94" s="65" t="s">
        <v>320</v>
      </c>
      <c r="E94" s="65" t="s">
        <v>336</v>
      </c>
      <c r="F94" s="87">
        <v>128.78921568627453</v>
      </c>
      <c r="G94" s="87">
        <f>F94*Mat_Mfg_Sheet_GoodsMU</f>
        <v>12.878921568627455</v>
      </c>
      <c r="H94" s="87">
        <f>(F94+G94)*Mat_FeeMU</f>
        <v>70.83406862745099</v>
      </c>
      <c r="I94" s="87">
        <f>SUM(F94:H94)</f>
        <v>212.50220588235297</v>
      </c>
      <c r="J94" s="70">
        <v>319.99166666666656</v>
      </c>
      <c r="K94">
        <v>15</v>
      </c>
    </row>
    <row r="95" spans="3:10" ht="13.5" outlineLevel="1" thickBot="1">
      <c r="C95" s="71">
        <f>SUBTOTAL(9,C90:C94)</f>
        <v>811.25</v>
      </c>
      <c r="D95" s="66"/>
      <c r="E95" s="66"/>
      <c r="F95" s="88">
        <f>SUBTOTAL(9,F90:F94)</f>
        <v>1291.1911764705883</v>
      </c>
      <c r="G95" s="88">
        <f>SUBTOTAL(9,G90:G94)</f>
        <v>129.11911764705883</v>
      </c>
      <c r="H95" s="88">
        <f>SUBTOTAL(9,H90:H94)</f>
        <v>710.1551470588236</v>
      </c>
      <c r="I95" s="88">
        <f>SUBTOTAL(9,I90:I94)</f>
        <v>2130.4654411764704</v>
      </c>
      <c r="J95" s="71">
        <f>SUBTOTAL(9,J90:J94)</f>
        <v>1304.4249999999997</v>
      </c>
    </row>
    <row r="96" spans="3:10" ht="13.5" thickTop="1">
      <c r="C96" s="83">
        <f>SUBTOTAL(9,C75:C94)</f>
        <v>1238.965277777778</v>
      </c>
      <c r="D96" s="81"/>
      <c r="E96" s="81" t="s">
        <v>337</v>
      </c>
      <c r="F96" s="89">
        <f>SUBTOTAL(9,F75:F94)</f>
        <v>1776.6195697429612</v>
      </c>
      <c r="G96" s="89">
        <f>SUBTOTAL(9,G75:G94)</f>
        <v>177.66195697429612</v>
      </c>
      <c r="H96" s="89">
        <f>SUBTOTAL(9,H75:H94)</f>
        <v>977.1407633586286</v>
      </c>
      <c r="I96" s="89">
        <f>SUBTOTAL(9,I75:I94)</f>
        <v>2931.4222900758864</v>
      </c>
      <c r="J96" s="83">
        <f>SUBTOTAL(9,J75:J94)</f>
        <v>1816.284736111111</v>
      </c>
    </row>
    <row r="97" spans="3:10" ht="12.75">
      <c r="C97" s="45"/>
      <c r="F97" s="85"/>
      <c r="G97" s="85"/>
      <c r="H97" s="85"/>
      <c r="I97" s="85"/>
      <c r="J97" s="45"/>
    </row>
    <row r="98" spans="1:10" ht="15.75">
      <c r="A98" s="63" t="s">
        <v>338</v>
      </c>
      <c r="C98" s="45"/>
      <c r="F98" s="85"/>
      <c r="G98" s="85"/>
      <c r="H98" s="85"/>
      <c r="I98" s="85"/>
      <c r="J98" s="45"/>
    </row>
    <row r="99" spans="1:10" ht="12.75">
      <c r="A99" s="55">
        <f>Mat_MaterialMU2</f>
        <v>0.2</v>
      </c>
      <c r="C99" s="45"/>
      <c r="F99" s="85"/>
      <c r="G99" s="85"/>
      <c r="H99" s="85"/>
      <c r="I99" s="85"/>
      <c r="J99" s="45"/>
    </row>
    <row r="100" spans="3:11" ht="12.75" outlineLevel="1">
      <c r="C100" s="69" t="s">
        <v>273</v>
      </c>
      <c r="D100" s="64" t="s">
        <v>274</v>
      </c>
      <c r="E100" s="64" t="s">
        <v>275</v>
      </c>
      <c r="F100" s="86" t="s">
        <v>276</v>
      </c>
      <c r="G100" s="86" t="s">
        <v>14</v>
      </c>
      <c r="H100" s="86" t="s">
        <v>12</v>
      </c>
      <c r="I100" s="86" t="s">
        <v>277</v>
      </c>
      <c r="J100" s="69" t="s">
        <v>204</v>
      </c>
      <c r="K100" s="64" t="s">
        <v>278</v>
      </c>
    </row>
    <row r="101" spans="2:10" ht="12.75" outlineLevel="1">
      <c r="B101" s="31" t="s">
        <v>339</v>
      </c>
      <c r="C101" s="45"/>
      <c r="F101" s="85"/>
      <c r="G101" s="85"/>
      <c r="H101" s="85"/>
      <c r="I101" s="85"/>
      <c r="J101" s="45"/>
    </row>
    <row r="102" spans="3:11" ht="12.75" outlineLevel="2">
      <c r="C102" s="70">
        <v>4</v>
      </c>
      <c r="D102" s="65" t="s">
        <v>291</v>
      </c>
      <c r="E102" s="65" t="s">
        <v>340</v>
      </c>
      <c r="F102" s="87">
        <v>1000</v>
      </c>
      <c r="G102" s="87">
        <f>F102*Mat_Buyout_BuyoutMU</f>
        <v>200</v>
      </c>
      <c r="H102" s="87">
        <f>(F102+G102)*Mat_FeeMU</f>
        <v>600</v>
      </c>
      <c r="I102" s="87">
        <f>SUM(F102:H102)</f>
        <v>1800</v>
      </c>
      <c r="J102" s="70">
        <v>180</v>
      </c>
      <c r="K102">
        <v>0</v>
      </c>
    </row>
    <row r="103" spans="3:10" ht="13.5" outlineLevel="1" thickBot="1">
      <c r="C103" s="71">
        <f>SUBTOTAL(9,C102:C102)</f>
        <v>4</v>
      </c>
      <c r="D103" s="66"/>
      <c r="E103" s="66"/>
      <c r="F103" s="88">
        <f>SUBTOTAL(9,F102:F102)</f>
        <v>1000</v>
      </c>
      <c r="G103" s="88">
        <f>SUBTOTAL(9,G102:G102)</f>
        <v>200</v>
      </c>
      <c r="H103" s="88">
        <f>SUBTOTAL(9,H102:H102)</f>
        <v>600</v>
      </c>
      <c r="I103" s="88">
        <f>SUBTOTAL(9,I102:I102)</f>
        <v>1800</v>
      </c>
      <c r="J103" s="71">
        <f>SUBTOTAL(9,J102:J102)</f>
        <v>180</v>
      </c>
    </row>
    <row r="104" spans="3:10" ht="13.5" thickTop="1">
      <c r="C104" s="83">
        <f>SUBTOTAL(9,C101:C102)</f>
        <v>4</v>
      </c>
      <c r="D104" s="81"/>
      <c r="E104" s="81" t="s">
        <v>341</v>
      </c>
      <c r="F104" s="89">
        <f>SUBTOTAL(9,F101:F102)</f>
        <v>1000</v>
      </c>
      <c r="G104" s="89">
        <f>SUBTOTAL(9,G101:G102)</f>
        <v>200</v>
      </c>
      <c r="H104" s="89">
        <f>SUBTOTAL(9,H101:H102)</f>
        <v>600</v>
      </c>
      <c r="I104" s="89">
        <f>SUBTOTAL(9,I101:I102)</f>
        <v>1800</v>
      </c>
      <c r="J104" s="83">
        <f>SUBTOTAL(9,J101:J102)</f>
        <v>180</v>
      </c>
    </row>
    <row r="105" spans="3:10" ht="13.5" thickBot="1">
      <c r="C105" s="45"/>
      <c r="F105" s="85"/>
      <c r="G105" s="85"/>
      <c r="H105" s="85"/>
      <c r="I105" s="85"/>
      <c r="J105" s="45"/>
    </row>
    <row r="106" spans="3:10" ht="16.5" thickTop="1">
      <c r="C106" s="84" t="s">
        <v>342</v>
      </c>
      <c r="D106" s="82"/>
      <c r="E106" s="82"/>
      <c r="F106" s="90">
        <f>SUBTOTAL(9,F10:F103)</f>
        <v>5485.539569742961</v>
      </c>
      <c r="G106" s="90">
        <f>SUBTOTAL(9,G10:G103)</f>
        <v>648.5539569742962</v>
      </c>
      <c r="H106" s="90">
        <f>SUBTOTAL(9,H10:H103)</f>
        <v>3067.0467633586286</v>
      </c>
      <c r="I106" s="90">
        <f>SUBTOTAL(9,I10:I103)</f>
        <v>9201.140290075888</v>
      </c>
      <c r="J106" s="84">
        <f>SUBTOTAL(9,J10:J103)</f>
        <v>3403.918069444444</v>
      </c>
    </row>
    <row r="107" spans="3:10" ht="12.75">
      <c r="C107" s="45" t="s">
        <v>343</v>
      </c>
      <c r="F107" s="85"/>
      <c r="G107" s="53">
        <f>G106/F106</f>
        <v>0.11822974727072944</v>
      </c>
      <c r="H107" s="85"/>
      <c r="I107" s="85"/>
      <c r="J107" s="45"/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1"/>
  <headerFooter alignWithMargins="0">
    <oddHeader>&amp;LStarlight Jewellers&amp;CMaterial Summary list&amp;R&amp;P/&amp;N</oddHeader>
    <oddFooter>&amp;LCompany&amp;RWednesday, November 5,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A1" sqref="A1"/>
    </sheetView>
  </sheetViews>
  <sheetFormatPr defaultColWidth="9.140625" defaultRowHeight="12.75" outlineLevelRow="2" outlineLevelCol="1"/>
  <cols>
    <col min="1" max="1" width="22.28125" style="0" bestFit="1" customWidth="1"/>
    <col min="2" max="2" width="16.00390625" style="0" bestFit="1" customWidth="1"/>
    <col min="3" max="3" width="17.8515625" style="0" bestFit="1" customWidth="1" outlineLevel="1"/>
    <col min="4" max="4" width="6.421875" style="0" bestFit="1" customWidth="1" outlineLevel="1"/>
    <col min="5" max="5" width="27.140625" style="0" bestFit="1" customWidth="1" outlineLevel="1"/>
    <col min="6" max="8" width="11.421875" style="0" bestFit="1" customWidth="1"/>
    <col min="9" max="9" width="12.7109375" style="0" bestFit="1" customWidth="1"/>
  </cols>
  <sheetData>
    <row r="1" spans="1:7" ht="12.75">
      <c r="A1" s="31" t="s">
        <v>187</v>
      </c>
      <c r="C1" s="31" t="s">
        <v>188</v>
      </c>
      <c r="D1" s="62" t="str">
        <f>"Filter: "&amp;ProjectFilter</f>
        <v>Filter: None</v>
      </c>
      <c r="E1" s="62"/>
      <c r="F1" s="62"/>
      <c r="G1" s="62"/>
    </row>
    <row r="2" spans="1:3" ht="12.75">
      <c r="A2" s="56" t="s">
        <v>189</v>
      </c>
      <c r="B2" s="57">
        <f>Total_MaterialMU</f>
        <v>0.1</v>
      </c>
      <c r="C2" s="53">
        <f>TaxRateMaterial</f>
        <v>0</v>
      </c>
    </row>
    <row r="3" spans="1:3" ht="12.75">
      <c r="A3" s="56" t="s">
        <v>190</v>
      </c>
      <c r="B3" s="57">
        <f>Total_MaterialMU2</f>
        <v>0.2</v>
      </c>
      <c r="C3" s="53">
        <f>TaxRateMaterial2</f>
        <v>0</v>
      </c>
    </row>
    <row r="4" spans="1:3" ht="12.75">
      <c r="A4" s="54" t="s">
        <v>191</v>
      </c>
      <c r="B4" s="55">
        <f>Total_LaborMU</f>
        <v>0.3</v>
      </c>
      <c r="C4" s="53">
        <f>TaxRateLabor</f>
        <v>0</v>
      </c>
    </row>
    <row r="5" spans="1:3" ht="12.75">
      <c r="A5" s="54" t="s">
        <v>192</v>
      </c>
      <c r="B5" s="55">
        <f>Total_LaborMU2</f>
        <v>0.4</v>
      </c>
      <c r="C5" s="53">
        <f>TaxRateLabor2</f>
        <v>0</v>
      </c>
    </row>
    <row r="6" spans="1:3" ht="12.75">
      <c r="A6" s="54" t="s">
        <v>12</v>
      </c>
      <c r="B6" s="55">
        <f>Total_FeeMU</f>
        <v>0.5</v>
      </c>
      <c r="C6" s="53">
        <f>TaxRateProfit</f>
        <v>0</v>
      </c>
    </row>
    <row r="7" spans="1:3" ht="12.75">
      <c r="A7" s="31" t="s">
        <v>193</v>
      </c>
      <c r="B7" s="58">
        <f>Total_SubContractsMU</f>
        <v>0.6</v>
      </c>
      <c r="C7" s="53">
        <f>TaxRateBO</f>
        <v>0</v>
      </c>
    </row>
    <row r="8" spans="1:9" ht="12.75">
      <c r="A8" s="59" t="s">
        <v>194</v>
      </c>
      <c r="B8" s="60">
        <f>Total_Tax1Rate</f>
        <v>0</v>
      </c>
      <c r="C8" s="61"/>
      <c r="D8" s="61"/>
      <c r="E8" s="61"/>
      <c r="F8" s="61"/>
      <c r="G8" s="61"/>
      <c r="H8" s="61"/>
      <c r="I8" s="61"/>
    </row>
    <row r="10" spans="1:9" ht="15.75">
      <c r="A10" s="63" t="s">
        <v>344</v>
      </c>
      <c r="C10" s="45"/>
      <c r="F10" s="85"/>
      <c r="G10" s="85"/>
      <c r="H10" s="85"/>
      <c r="I10" s="85"/>
    </row>
    <row r="11" spans="1:9" ht="12.75">
      <c r="A11" s="55">
        <f>Lab_LaborMU</f>
        <v>0.3</v>
      </c>
      <c r="C11" s="45"/>
      <c r="F11" s="85"/>
      <c r="G11" s="85"/>
      <c r="H11" s="85"/>
      <c r="I11" s="85"/>
    </row>
    <row r="12" spans="3:9" ht="12.75" outlineLevel="1">
      <c r="C12" s="69" t="s">
        <v>197</v>
      </c>
      <c r="D12" s="64" t="s">
        <v>274</v>
      </c>
      <c r="E12" s="64" t="s">
        <v>345</v>
      </c>
      <c r="F12" s="86" t="s">
        <v>276</v>
      </c>
      <c r="G12" s="86" t="s">
        <v>14</v>
      </c>
      <c r="H12" s="86" t="s">
        <v>12</v>
      </c>
      <c r="I12" s="86" t="s">
        <v>277</v>
      </c>
    </row>
    <row r="13" spans="2:9" ht="12.75" outlineLevel="1">
      <c r="B13" s="31" t="s">
        <v>346</v>
      </c>
      <c r="C13" s="45"/>
      <c r="F13" s="85"/>
      <c r="G13" s="85"/>
      <c r="H13" s="85"/>
      <c r="I13" s="85"/>
    </row>
    <row r="14" spans="3:9" ht="12.75" outlineLevel="2">
      <c r="C14" s="70">
        <v>7.8425</v>
      </c>
      <c r="D14" s="65" t="s">
        <v>347</v>
      </c>
      <c r="E14" s="65" t="s">
        <v>348</v>
      </c>
      <c r="F14" s="87">
        <v>156.85</v>
      </c>
      <c r="G14" s="87">
        <f>F14*Lab_Mfg_ManufacturingMU</f>
        <v>47.055</v>
      </c>
      <c r="H14" s="87">
        <f>(F14+G14)*Lab_FeeMU</f>
        <v>101.9525</v>
      </c>
      <c r="I14" s="87">
        <f>SUM(F14:H14)</f>
        <v>305.8575</v>
      </c>
    </row>
    <row r="15" spans="3:9" ht="12.75" outlineLevel="2">
      <c r="C15" s="70">
        <v>12.75</v>
      </c>
      <c r="D15" s="65" t="s">
        <v>347</v>
      </c>
      <c r="E15" s="65" t="s">
        <v>349</v>
      </c>
      <c r="F15" s="87">
        <v>255</v>
      </c>
      <c r="G15" s="87">
        <f>F15*Lab_Mfg_ManufacturingMU</f>
        <v>76.5</v>
      </c>
      <c r="H15" s="87">
        <f>(F15+G15)*Lab_FeeMU</f>
        <v>165.75</v>
      </c>
      <c r="I15" s="87">
        <f>SUM(F15:H15)</f>
        <v>497.25</v>
      </c>
    </row>
    <row r="16" spans="3:9" ht="12.75" outlineLevel="2">
      <c r="C16" s="70">
        <v>7.2</v>
      </c>
      <c r="D16" s="65" t="s">
        <v>347</v>
      </c>
      <c r="E16" s="65" t="s">
        <v>350</v>
      </c>
      <c r="F16" s="87">
        <v>144</v>
      </c>
      <c r="G16" s="87">
        <f>F16*Lab_Mfg_ManufacturingMU</f>
        <v>43.199999999999996</v>
      </c>
      <c r="H16" s="87">
        <f>(F16+G16)*Lab_FeeMU</f>
        <v>93.6</v>
      </c>
      <c r="I16" s="87">
        <f>SUM(F16:H16)</f>
        <v>280.79999999999995</v>
      </c>
    </row>
    <row r="17" spans="3:9" ht="12.75" outlineLevel="2">
      <c r="C17" s="70">
        <v>2.7609519999999996</v>
      </c>
      <c r="D17" s="65" t="s">
        <v>347</v>
      </c>
      <c r="E17" s="65" t="s">
        <v>351</v>
      </c>
      <c r="F17" s="87">
        <v>55.21903999999999</v>
      </c>
      <c r="G17" s="87">
        <f>F17*Lab_Mfg_ManufacturingMU</f>
        <v>16.565711999999998</v>
      </c>
      <c r="H17" s="87">
        <f>(F17+G17)*Lab_FeeMU</f>
        <v>35.892376</v>
      </c>
      <c r="I17" s="87">
        <f>SUM(F17:H17)</f>
        <v>107.677128</v>
      </c>
    </row>
    <row r="18" spans="3:9" ht="12.75" outlineLevel="2">
      <c r="C18" s="70">
        <v>3.2488</v>
      </c>
      <c r="D18" s="65" t="s">
        <v>347</v>
      </c>
      <c r="E18" s="65" t="s">
        <v>352</v>
      </c>
      <c r="F18" s="87">
        <v>64.976</v>
      </c>
      <c r="G18" s="87">
        <f>F18*Lab_Mfg_ManufacturingMU</f>
        <v>19.4928</v>
      </c>
      <c r="H18" s="87">
        <f>(F18+G18)*Lab_FeeMU</f>
        <v>42.2344</v>
      </c>
      <c r="I18" s="87">
        <f>SUM(F18:H18)</f>
        <v>126.70320000000001</v>
      </c>
    </row>
    <row r="19" spans="3:9" ht="12.75" outlineLevel="2">
      <c r="C19" s="70">
        <v>0.4978</v>
      </c>
      <c r="D19" s="65" t="s">
        <v>347</v>
      </c>
      <c r="E19" s="65" t="s">
        <v>353</v>
      </c>
      <c r="F19" s="87">
        <v>9.956000000000001</v>
      </c>
      <c r="G19" s="87">
        <f>F19*Lab_Mfg_ManufacturingMU</f>
        <v>2.9868</v>
      </c>
      <c r="H19" s="87">
        <f>(F19+G19)*Lab_FeeMU</f>
        <v>6.471400000000001</v>
      </c>
      <c r="I19" s="87">
        <f>SUM(F19:H19)</f>
        <v>19.4142</v>
      </c>
    </row>
    <row r="20" spans="3:9" ht="12.75" outlineLevel="2">
      <c r="C20" s="70">
        <v>5.653398562500001</v>
      </c>
      <c r="D20" s="65" t="s">
        <v>347</v>
      </c>
      <c r="E20" s="65" t="s">
        <v>354</v>
      </c>
      <c r="F20" s="87">
        <v>113.06797125000001</v>
      </c>
      <c r="G20" s="87">
        <f>F20*Lab_Mfg_ManufacturingMU</f>
        <v>33.920391375</v>
      </c>
      <c r="H20" s="87">
        <f>(F20+G20)*Lab_FeeMU</f>
        <v>73.4941813125</v>
      </c>
      <c r="I20" s="87">
        <f>SUM(F20:H20)</f>
        <v>220.4825439375</v>
      </c>
    </row>
    <row r="21" spans="3:9" ht="12.75" outlineLevel="1">
      <c r="C21" s="71">
        <f>SUBTOTAL(9,C14:C20)</f>
        <v>39.9534505625</v>
      </c>
      <c r="D21" s="66"/>
      <c r="E21" s="66"/>
      <c r="F21" s="88">
        <f>SUBTOTAL(9,F14:F20)</f>
        <v>799.06901125</v>
      </c>
      <c r="G21" s="88">
        <f>SUBTOTAL(9,G14:G20)</f>
        <v>239.72070337499997</v>
      </c>
      <c r="H21" s="88">
        <f>SUBTOTAL(9,H14:H20)</f>
        <v>519.3948573125</v>
      </c>
      <c r="I21" s="88">
        <f>SUBTOTAL(9,I14:I20)</f>
        <v>1558.1845719374999</v>
      </c>
    </row>
    <row r="22" spans="2:9" ht="12.75" outlineLevel="1">
      <c r="B22" s="31" t="s">
        <v>355</v>
      </c>
      <c r="C22" s="45"/>
      <c r="F22" s="85"/>
      <c r="G22" s="85"/>
      <c r="H22" s="85"/>
      <c r="I22" s="85"/>
    </row>
    <row r="23" spans="3:9" ht="12.75" outlineLevel="2">
      <c r="C23" s="70">
        <v>4.062666666666667</v>
      </c>
      <c r="D23" s="65" t="s">
        <v>347</v>
      </c>
      <c r="E23" s="65" t="s">
        <v>356</v>
      </c>
      <c r="F23" s="87">
        <v>81.25333333333334</v>
      </c>
      <c r="G23" s="87">
        <f>F23*Lab_Mfg_ManufacturingMU</f>
        <v>24.376</v>
      </c>
      <c r="H23" s="87">
        <f>(F23+G23)*Lab_FeeMU</f>
        <v>52.814666666666675</v>
      </c>
      <c r="I23" s="87">
        <f>SUM(F23:H23)</f>
        <v>158.44400000000002</v>
      </c>
    </row>
    <row r="24" spans="3:9" ht="12.75" outlineLevel="2">
      <c r="C24" s="70">
        <v>0.08</v>
      </c>
      <c r="D24" s="65" t="s">
        <v>347</v>
      </c>
      <c r="E24" s="65" t="s">
        <v>350</v>
      </c>
      <c r="F24" s="87">
        <v>1.6</v>
      </c>
      <c r="G24" s="87">
        <f>F24*Lab_Mfg_ManufacturingMU</f>
        <v>0.48</v>
      </c>
      <c r="H24" s="87">
        <f>(F24+G24)*Lab_FeeMU</f>
        <v>1.04</v>
      </c>
      <c r="I24" s="87">
        <f>SUM(F24:H24)</f>
        <v>3.12</v>
      </c>
    </row>
    <row r="25" spans="3:9" ht="12.75" outlineLevel="2">
      <c r="C25" s="70">
        <v>0.375</v>
      </c>
      <c r="D25" s="65" t="s">
        <v>347</v>
      </c>
      <c r="E25" s="65" t="s">
        <v>357</v>
      </c>
      <c r="F25" s="87">
        <v>7.5</v>
      </c>
      <c r="G25" s="87">
        <f>F25*Lab_Mfg_ManufacturingMU</f>
        <v>2.25</v>
      </c>
      <c r="H25" s="87">
        <f>(F25+G25)*Lab_FeeMU</f>
        <v>4.875</v>
      </c>
      <c r="I25" s="87">
        <f>SUM(F25:H25)</f>
        <v>14.625</v>
      </c>
    </row>
    <row r="26" spans="3:9" ht="12.75" outlineLevel="2">
      <c r="C26" s="70">
        <v>2.0849444444444445</v>
      </c>
      <c r="D26" s="65" t="s">
        <v>347</v>
      </c>
      <c r="E26" s="65" t="s">
        <v>358</v>
      </c>
      <c r="F26" s="87">
        <v>41.69888888888889</v>
      </c>
      <c r="G26" s="87">
        <f>F26*Lab_Mfg_ManufacturingMU</f>
        <v>12.509666666666666</v>
      </c>
      <c r="H26" s="87">
        <f>(F26+G26)*Lab_FeeMU</f>
        <v>27.104277777777778</v>
      </c>
      <c r="I26" s="87">
        <f>SUM(F26:H26)</f>
        <v>81.31283333333333</v>
      </c>
    </row>
    <row r="27" spans="3:9" ht="12.75" outlineLevel="1">
      <c r="C27" s="71">
        <f>SUBTOTAL(9,C23:C26)</f>
        <v>6.602611111111111</v>
      </c>
      <c r="D27" s="66"/>
      <c r="E27" s="66"/>
      <c r="F27" s="88">
        <f>SUBTOTAL(9,F23:F26)</f>
        <v>132.0522222222222</v>
      </c>
      <c r="G27" s="88">
        <f>SUBTOTAL(9,G23:G26)</f>
        <v>39.61566666666667</v>
      </c>
      <c r="H27" s="88">
        <f>SUBTOTAL(9,H23:H26)</f>
        <v>85.83394444444446</v>
      </c>
      <c r="I27" s="88">
        <f>SUBTOTAL(9,I23:I26)</f>
        <v>257.50183333333337</v>
      </c>
    </row>
    <row r="28" spans="2:9" ht="12.75" outlineLevel="1">
      <c r="B28" s="31" t="s">
        <v>359</v>
      </c>
      <c r="C28" s="45"/>
      <c r="F28" s="85"/>
      <c r="G28" s="85"/>
      <c r="H28" s="85"/>
      <c r="I28" s="85"/>
    </row>
    <row r="29" spans="3:9" ht="12.75" outlineLevel="2">
      <c r="C29" s="70">
        <v>3.5</v>
      </c>
      <c r="D29" s="65" t="s">
        <v>347</v>
      </c>
      <c r="E29" s="65" t="s">
        <v>360</v>
      </c>
      <c r="F29" s="87">
        <v>70</v>
      </c>
      <c r="G29" s="87">
        <f>F29*Lab_Mfg_ManufacturingMU</f>
        <v>21</v>
      </c>
      <c r="H29" s="87">
        <f>(F29+G29)*Lab_FeeMU</f>
        <v>45.5</v>
      </c>
      <c r="I29" s="87">
        <f>SUM(F29:H29)</f>
        <v>136.5</v>
      </c>
    </row>
    <row r="30" spans="3:9" ht="12.75" outlineLevel="2">
      <c r="C30" s="70">
        <v>0.45</v>
      </c>
      <c r="D30" s="65" t="s">
        <v>347</v>
      </c>
      <c r="E30" s="65" t="s">
        <v>361</v>
      </c>
      <c r="F30" s="87">
        <v>9</v>
      </c>
      <c r="G30" s="87">
        <f>F30*Lab_Mfg_ManufacturingMU</f>
        <v>2.6999999999999997</v>
      </c>
      <c r="H30" s="87">
        <f>(F30+G30)*Lab_FeeMU</f>
        <v>5.85</v>
      </c>
      <c r="I30" s="87">
        <f>SUM(F30:H30)</f>
        <v>17.549999999999997</v>
      </c>
    </row>
    <row r="31" spans="3:9" ht="12.75" outlineLevel="2">
      <c r="C31" s="70">
        <v>1.8172000000000001</v>
      </c>
      <c r="D31" s="65" t="s">
        <v>347</v>
      </c>
      <c r="E31" s="65" t="s">
        <v>362</v>
      </c>
      <c r="F31" s="87">
        <v>36.34400000000001</v>
      </c>
      <c r="G31" s="87">
        <f>F31*Lab_Mfg_ManufacturingMU</f>
        <v>10.903200000000002</v>
      </c>
      <c r="H31" s="87">
        <f>(F31+G31)*Lab_FeeMU</f>
        <v>23.623600000000003</v>
      </c>
      <c r="I31" s="87">
        <f>SUM(F31:H31)</f>
        <v>70.8708</v>
      </c>
    </row>
    <row r="32" spans="3:9" ht="12.75" outlineLevel="1">
      <c r="C32" s="71">
        <f>SUBTOTAL(9,C29:C31)</f>
        <v>5.767200000000001</v>
      </c>
      <c r="D32" s="66"/>
      <c r="E32" s="66"/>
      <c r="F32" s="88">
        <f>SUBTOTAL(9,F29:F31)</f>
        <v>115.34400000000001</v>
      </c>
      <c r="G32" s="88">
        <f>SUBTOTAL(9,G29:G31)</f>
        <v>34.6032</v>
      </c>
      <c r="H32" s="88">
        <f>SUBTOTAL(9,H29:H31)</f>
        <v>74.9736</v>
      </c>
      <c r="I32" s="88">
        <f>SUBTOTAL(9,I29:I31)</f>
        <v>224.9208</v>
      </c>
    </row>
    <row r="33" spans="2:9" ht="12.75" outlineLevel="1">
      <c r="B33" s="31" t="s">
        <v>298</v>
      </c>
      <c r="C33" s="45"/>
      <c r="F33" s="85"/>
      <c r="G33" s="85"/>
      <c r="H33" s="85"/>
      <c r="I33" s="85"/>
    </row>
    <row r="34" spans="3:9" ht="12.75" outlineLevel="2">
      <c r="C34" s="70">
        <v>12.8125</v>
      </c>
      <c r="D34" s="65" t="s">
        <v>347</v>
      </c>
      <c r="E34" s="65" t="s">
        <v>363</v>
      </c>
      <c r="F34" s="87">
        <v>256.25</v>
      </c>
      <c r="G34" s="87">
        <f>F34*Lab_Mfg_ManufacturingMU</f>
        <v>76.875</v>
      </c>
      <c r="H34" s="87">
        <f>(F34+G34)*Lab_FeeMU</f>
        <v>166.5625</v>
      </c>
      <c r="I34" s="87">
        <f>SUM(F34:H34)</f>
        <v>499.6875</v>
      </c>
    </row>
    <row r="35" spans="3:9" ht="13.5" outlineLevel="1" thickBot="1">
      <c r="C35" s="71">
        <f>SUBTOTAL(9,C34:C34)</f>
        <v>12.8125</v>
      </c>
      <c r="D35" s="66"/>
      <c r="E35" s="66"/>
      <c r="F35" s="88">
        <f>SUBTOTAL(9,F34:F34)</f>
        <v>256.25</v>
      </c>
      <c r="G35" s="88">
        <f>SUBTOTAL(9,G34:G34)</f>
        <v>76.875</v>
      </c>
      <c r="H35" s="88">
        <f>SUBTOTAL(9,H34:H34)</f>
        <v>166.5625</v>
      </c>
      <c r="I35" s="88">
        <f>SUBTOTAL(9,I34:I34)</f>
        <v>499.6875</v>
      </c>
    </row>
    <row r="36" spans="3:9" ht="13.5" thickTop="1">
      <c r="C36" s="83">
        <f>SUBTOTAL(9,C13:C34)</f>
        <v>65.13576167361111</v>
      </c>
      <c r="D36" s="81"/>
      <c r="E36" s="81" t="s">
        <v>364</v>
      </c>
      <c r="F36" s="89">
        <f>SUBTOTAL(9,F13:F34)</f>
        <v>1302.7152334722223</v>
      </c>
      <c r="G36" s="89">
        <f>SUBTOTAL(9,G13:G34)</f>
        <v>390.8145700416666</v>
      </c>
      <c r="H36" s="89">
        <f>SUBTOTAL(9,H13:H34)</f>
        <v>846.7649017569444</v>
      </c>
      <c r="I36" s="89">
        <f>SUBTOTAL(9,I13:I34)</f>
        <v>2540.294705270833</v>
      </c>
    </row>
    <row r="37" spans="3:9" ht="12.75">
      <c r="C37" s="45"/>
      <c r="F37" s="85"/>
      <c r="G37" s="85"/>
      <c r="H37" s="85"/>
      <c r="I37" s="85"/>
    </row>
    <row r="38" spans="1:9" ht="15.75">
      <c r="A38" s="63" t="s">
        <v>365</v>
      </c>
      <c r="C38" s="45"/>
      <c r="F38" s="85"/>
      <c r="G38" s="85"/>
      <c r="H38" s="85"/>
      <c r="I38" s="85"/>
    </row>
    <row r="39" spans="1:9" ht="12.75">
      <c r="A39" s="55">
        <f>Lab_LaborMU2</f>
        <v>0.4</v>
      </c>
      <c r="C39" s="45"/>
      <c r="F39" s="85"/>
      <c r="G39" s="85"/>
      <c r="H39" s="85"/>
      <c r="I39" s="85"/>
    </row>
    <row r="40" spans="3:9" ht="12.75" outlineLevel="1">
      <c r="C40" s="69" t="s">
        <v>197</v>
      </c>
      <c r="D40" s="64" t="s">
        <v>274</v>
      </c>
      <c r="E40" s="64" t="s">
        <v>345</v>
      </c>
      <c r="F40" s="86" t="s">
        <v>276</v>
      </c>
      <c r="G40" s="86" t="s">
        <v>14</v>
      </c>
      <c r="H40" s="86" t="s">
        <v>12</v>
      </c>
      <c r="I40" s="86" t="s">
        <v>277</v>
      </c>
    </row>
    <row r="41" spans="2:9" ht="12.75" outlineLevel="1">
      <c r="B41" s="31" t="s">
        <v>366</v>
      </c>
      <c r="C41" s="45"/>
      <c r="F41" s="85"/>
      <c r="G41" s="85"/>
      <c r="H41" s="85"/>
      <c r="I41" s="85"/>
    </row>
    <row r="42" spans="3:9" ht="12.75" outlineLevel="2">
      <c r="C42" s="70">
        <v>8.75</v>
      </c>
      <c r="D42" s="65" t="s">
        <v>347</v>
      </c>
      <c r="E42" s="65" t="s">
        <v>367</v>
      </c>
      <c r="F42" s="87">
        <v>350</v>
      </c>
      <c r="G42" s="87">
        <f>F42*Lab_Site_SiteMU</f>
        <v>140</v>
      </c>
      <c r="H42" s="87">
        <f>(F42+G42)*Lab_FeeMU</f>
        <v>245</v>
      </c>
      <c r="I42" s="87">
        <f>SUM(F42:H42)</f>
        <v>735</v>
      </c>
    </row>
    <row r="43" spans="3:9" ht="12.75" outlineLevel="2">
      <c r="C43" s="70">
        <v>0.5</v>
      </c>
      <c r="D43" s="65" t="s">
        <v>347</v>
      </c>
      <c r="E43" s="65" t="s">
        <v>368</v>
      </c>
      <c r="F43" s="87">
        <v>20</v>
      </c>
      <c r="G43" s="87">
        <f>F43*Lab_Site_SiteMU</f>
        <v>8</v>
      </c>
      <c r="H43" s="87">
        <f>(F43+G43)*Lab_FeeMU</f>
        <v>14</v>
      </c>
      <c r="I43" s="87">
        <f>SUM(F43:H43)</f>
        <v>42</v>
      </c>
    </row>
    <row r="44" spans="3:9" ht="12.75" outlineLevel="1">
      <c r="C44" s="71">
        <f>SUBTOTAL(9,C42:C43)</f>
        <v>9.25</v>
      </c>
      <c r="D44" s="66"/>
      <c r="E44" s="66"/>
      <c r="F44" s="88">
        <f>SUBTOTAL(9,F42:F43)</f>
        <v>370</v>
      </c>
      <c r="G44" s="88">
        <f>SUBTOTAL(9,G42:G43)</f>
        <v>148</v>
      </c>
      <c r="H44" s="88">
        <f>SUBTOTAL(9,H42:H43)</f>
        <v>259</v>
      </c>
      <c r="I44" s="88">
        <f>SUBTOTAL(9,I42:I43)</f>
        <v>777</v>
      </c>
    </row>
    <row r="45" spans="2:9" ht="12.75" outlineLevel="1">
      <c r="B45" s="31" t="s">
        <v>369</v>
      </c>
      <c r="C45" s="45"/>
      <c r="F45" s="85"/>
      <c r="G45" s="85"/>
      <c r="H45" s="85"/>
      <c r="I45" s="85"/>
    </row>
    <row r="46" spans="3:9" ht="12.75" outlineLevel="2">
      <c r="C46" s="70">
        <v>2.1333333333333333</v>
      </c>
      <c r="D46" s="65" t="s">
        <v>347</v>
      </c>
      <c r="E46" s="65" t="s">
        <v>370</v>
      </c>
      <c r="F46" s="87">
        <v>85.3334</v>
      </c>
      <c r="G46" s="87">
        <f>F46*Lab_Site_SiteMU</f>
        <v>34.13336</v>
      </c>
      <c r="H46" s="87">
        <f>(F46+G46)*Lab_FeeMU</f>
        <v>59.73338</v>
      </c>
      <c r="I46" s="87">
        <f>SUM(F46:H46)</f>
        <v>179.20013999999998</v>
      </c>
    </row>
    <row r="47" spans="3:9" ht="12.75" outlineLevel="2">
      <c r="C47" s="70">
        <v>0.375</v>
      </c>
      <c r="D47" s="65" t="s">
        <v>347</v>
      </c>
      <c r="E47" s="65" t="s">
        <v>371</v>
      </c>
      <c r="F47" s="87">
        <v>15</v>
      </c>
      <c r="G47" s="87">
        <f>F47*Lab_Site_SiteMU</f>
        <v>6</v>
      </c>
      <c r="H47" s="87">
        <f>(F47+G47)*Lab_FeeMU</f>
        <v>10.5</v>
      </c>
      <c r="I47" s="87">
        <f>SUM(F47:H47)</f>
        <v>31.5</v>
      </c>
    </row>
    <row r="48" spans="3:9" ht="12.75" outlineLevel="1">
      <c r="C48" s="71">
        <f>SUBTOTAL(9,C46:C47)</f>
        <v>2.5083333333333333</v>
      </c>
      <c r="D48" s="66"/>
      <c r="E48" s="66"/>
      <c r="F48" s="88">
        <f>SUBTOTAL(9,F46:F47)</f>
        <v>100.3334</v>
      </c>
      <c r="G48" s="88">
        <f>SUBTOTAL(9,G46:G47)</f>
        <v>40.13336</v>
      </c>
      <c r="H48" s="88">
        <f>SUBTOTAL(9,H46:H47)</f>
        <v>70.23338</v>
      </c>
      <c r="I48" s="88">
        <f>SUBTOTAL(9,I46:I47)</f>
        <v>210.70013999999998</v>
      </c>
    </row>
    <row r="49" spans="2:9" ht="12.75" outlineLevel="1">
      <c r="B49" s="31" t="s">
        <v>372</v>
      </c>
      <c r="C49" s="45"/>
      <c r="F49" s="85"/>
      <c r="G49" s="85"/>
      <c r="H49" s="85"/>
      <c r="I49" s="85"/>
    </row>
    <row r="50" spans="3:9" ht="12.75" outlineLevel="2">
      <c r="C50" s="70">
        <v>2.5</v>
      </c>
      <c r="D50" s="65" t="s">
        <v>347</v>
      </c>
      <c r="E50" s="65" t="s">
        <v>373</v>
      </c>
      <c r="F50" s="87">
        <v>100</v>
      </c>
      <c r="G50" s="87">
        <f>F50*Lab_Site_SiteMU</f>
        <v>40</v>
      </c>
      <c r="H50" s="87">
        <f>(F50+G50)*Lab_FeeMU</f>
        <v>70</v>
      </c>
      <c r="I50" s="87">
        <f>SUM(F50:H50)</f>
        <v>210</v>
      </c>
    </row>
    <row r="51" spans="3:9" ht="12.75" outlineLevel="1">
      <c r="C51" s="71">
        <f>SUBTOTAL(9,C50:C50)</f>
        <v>2.5</v>
      </c>
      <c r="D51" s="66"/>
      <c r="E51" s="66"/>
      <c r="F51" s="88">
        <f>SUBTOTAL(9,F50:F50)</f>
        <v>100</v>
      </c>
      <c r="G51" s="88">
        <f>SUBTOTAL(9,G50:G50)</f>
        <v>40</v>
      </c>
      <c r="H51" s="88">
        <f>SUBTOTAL(9,H50:H50)</f>
        <v>70</v>
      </c>
      <c r="I51" s="88">
        <f>SUBTOTAL(9,I50:I50)</f>
        <v>210</v>
      </c>
    </row>
    <row r="52" spans="2:9" ht="12.75" outlineLevel="1">
      <c r="B52" s="31" t="s">
        <v>374</v>
      </c>
      <c r="C52" s="45"/>
      <c r="F52" s="85"/>
      <c r="G52" s="85"/>
      <c r="H52" s="85"/>
      <c r="I52" s="85"/>
    </row>
    <row r="53" spans="3:9" ht="12.75" outlineLevel="2">
      <c r="C53" s="70">
        <v>92</v>
      </c>
      <c r="D53" s="65" t="s">
        <v>347</v>
      </c>
      <c r="E53" s="65" t="s">
        <v>375</v>
      </c>
      <c r="F53" s="87">
        <v>3680</v>
      </c>
      <c r="G53" s="87">
        <f>F53*Lab_Site_SiteMU</f>
        <v>1472</v>
      </c>
      <c r="H53" s="87">
        <f>(F53+G53)*Lab_FeeMU</f>
        <v>2576</v>
      </c>
      <c r="I53" s="87">
        <f>SUM(F53:H53)</f>
        <v>7728</v>
      </c>
    </row>
    <row r="54" spans="3:9" ht="13.5" outlineLevel="1" thickBot="1">
      <c r="C54" s="71">
        <f>SUBTOTAL(9,C53:C53)</f>
        <v>92</v>
      </c>
      <c r="D54" s="66"/>
      <c r="E54" s="66"/>
      <c r="F54" s="88">
        <f>SUBTOTAL(9,F53:F53)</f>
        <v>3680</v>
      </c>
      <c r="G54" s="88">
        <f>SUBTOTAL(9,G53:G53)</f>
        <v>1472</v>
      </c>
      <c r="H54" s="88">
        <f>SUBTOTAL(9,H53:H53)</f>
        <v>2576</v>
      </c>
      <c r="I54" s="88">
        <f>SUBTOTAL(9,I53:I53)</f>
        <v>7728</v>
      </c>
    </row>
    <row r="55" spans="3:9" ht="13.5" thickTop="1">
      <c r="C55" s="83">
        <f>SUBTOTAL(9,C41:C53)</f>
        <v>106.25833333333333</v>
      </c>
      <c r="D55" s="81"/>
      <c r="E55" s="81" t="s">
        <v>376</v>
      </c>
      <c r="F55" s="89">
        <f>SUBTOTAL(9,F41:F53)</f>
        <v>4250.3333999999995</v>
      </c>
      <c r="G55" s="89">
        <f>SUBTOTAL(9,G41:G53)</f>
        <v>1700.13336</v>
      </c>
      <c r="H55" s="89">
        <f>SUBTOTAL(9,H41:H53)</f>
        <v>2975.23338</v>
      </c>
      <c r="I55" s="89">
        <f>SUBTOTAL(9,I41:I53)</f>
        <v>8925.70014</v>
      </c>
    </row>
    <row r="56" spans="3:9" ht="13.5" thickBot="1">
      <c r="C56" s="45"/>
      <c r="F56" s="85"/>
      <c r="G56" s="85"/>
      <c r="H56" s="85"/>
      <c r="I56" s="85"/>
    </row>
    <row r="57" spans="3:9" ht="16.5" thickTop="1">
      <c r="C57" s="84" t="s">
        <v>377</v>
      </c>
      <c r="D57" s="82"/>
      <c r="E57" s="82"/>
      <c r="F57" s="90">
        <f>SUBTOTAL(9,F10:F54)</f>
        <v>5553.048633472223</v>
      </c>
      <c r="G57" s="90">
        <f>SUBTOTAL(9,G10:G54)</f>
        <v>2090.947930041667</v>
      </c>
      <c r="H57" s="90">
        <f>SUBTOTAL(9,H10:H54)</f>
        <v>3821.9982817569444</v>
      </c>
      <c r="I57" s="90">
        <f>SUBTOTAL(9,I10:I54)</f>
        <v>11465.994845270834</v>
      </c>
    </row>
    <row r="58" spans="3:9" ht="12.75">
      <c r="C58" s="45" t="s">
        <v>343</v>
      </c>
      <c r="F58" s="85"/>
      <c r="G58" s="53">
        <f>G57/F57</f>
        <v>0.37654053981051383</v>
      </c>
      <c r="H58" s="85"/>
      <c r="I58" s="85"/>
    </row>
  </sheetData>
  <mergeCells count="1">
    <mergeCell ref="D1:G1"/>
  </mergeCells>
  <printOptions/>
  <pageMargins left="0.75" right="0.75" top="1" bottom="1" header="0.5" footer="0.5"/>
  <pageSetup fitToHeight="0" fitToWidth="1" horizontalDpi="600" verticalDpi="600" orientation="landscape" r:id="rId1"/>
  <headerFooter alignWithMargins="0">
    <oddHeader>&amp;LStarlight Jewellers&amp;CLabor Summary list&amp;R&amp;P/&amp;N</oddHeader>
    <oddFooter>&amp;LCompany&amp;RWednesday, November 5,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 Logic 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Created by tkOffice for Starlight Jewellers on Wednesday, November 5, 2014</dc:description>
  <cp:lastModifiedBy>Axel Wagner</cp:lastModifiedBy>
  <cp:lastPrinted>2006-04-01T00:21:12Z</cp:lastPrinted>
  <dcterms:created xsi:type="dcterms:W3CDTF">2005-08-21T01:10:05Z</dcterms:created>
  <dcterms:modified xsi:type="dcterms:W3CDTF">2014-11-06T00:39:13Z</dcterms:modified>
  <cp:category/>
  <cp:version/>
  <cp:contentType/>
  <cp:contentStatus/>
</cp:coreProperties>
</file>